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llglobal-my.sharepoint.com/personal/apuente_loma_org/Documents/"/>
    </mc:Choice>
  </mc:AlternateContent>
  <xr:revisionPtr revIDLastSave="0" documentId="8_{BBE73271-9AE6-4A2A-AD38-EE8146D96358}" xr6:coauthVersionLast="47" xr6:coauthVersionMax="47" xr10:uidLastSave="{00000000-0000-0000-0000-000000000000}"/>
  <bookViews>
    <workbookView xWindow="-120" yWindow="-120" windowWidth="51840" windowHeight="21120" xr2:uid="{FFFCA4AF-C553-4B9E-AF84-DA1D592284C5}"/>
  </bookViews>
  <sheets>
    <sheet name="Documentation" sheetId="1" r:id="rId1"/>
    <sheet name="Organization Costs v2" sheetId="2" r:id="rId2"/>
    <sheet name="TCO Calculator v2" sheetId="3" r:id="rId3"/>
    <sheet name="Customer Service Transform v2" sheetId="4" r:id="rId4"/>
    <sheet name="Worksheet" sheetId="5" state="hidden" r:id="rId5"/>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5" l="1"/>
  <c r="E6" i="5"/>
  <c r="D6" i="5"/>
  <c r="C6" i="5"/>
  <c r="C8" i="5"/>
  <c r="D8" i="5"/>
  <c r="E8" i="5"/>
  <c r="F8" i="5"/>
  <c r="B8" i="5"/>
  <c r="F11" i="5"/>
  <c r="E11" i="5"/>
  <c r="D11" i="5"/>
  <c r="C11" i="5"/>
  <c r="B11" i="5"/>
  <c r="F9" i="5"/>
  <c r="E9" i="5"/>
  <c r="D9" i="5"/>
  <c r="C9" i="5"/>
  <c r="B9" i="5"/>
  <c r="B3" i="5"/>
  <c r="B5" i="5" s="1"/>
  <c r="F2" i="5"/>
  <c r="E2" i="5"/>
  <c r="D2" i="5"/>
  <c r="C2" i="5"/>
  <c r="B2" i="5"/>
  <c r="G32" i="4"/>
  <c r="G33" i="4" s="1"/>
  <c r="G34" i="4" s="1"/>
  <c r="G35" i="4" s="1"/>
  <c r="F32" i="4"/>
  <c r="F33" i="4" s="1"/>
  <c r="F34" i="4" s="1"/>
  <c r="F35" i="4" s="1"/>
  <c r="E32" i="4"/>
  <c r="E33" i="4" s="1"/>
  <c r="E34" i="4" s="1"/>
  <c r="E35" i="4" s="1"/>
  <c r="D32" i="4"/>
  <c r="D33" i="4" s="1"/>
  <c r="D34" i="4" s="1"/>
  <c r="D35" i="4" s="1"/>
  <c r="C32" i="4"/>
  <c r="C33" i="4" s="1"/>
  <c r="C34" i="4" s="1"/>
  <c r="C35" i="4" s="1"/>
  <c r="H25" i="4"/>
  <c r="H23" i="4"/>
  <c r="H7" i="4"/>
  <c r="H9" i="4" s="1"/>
  <c r="H11" i="4" s="1"/>
  <c r="C9" i="3"/>
  <c r="C7" i="3"/>
  <c r="G6" i="3"/>
  <c r="F6" i="3"/>
  <c r="E6" i="3"/>
  <c r="D6" i="3"/>
  <c r="C6" i="3"/>
  <c r="D5" i="3"/>
  <c r="E5" i="3" s="1"/>
  <c r="F5" i="3" s="1"/>
  <c r="G5" i="3" s="1"/>
  <c r="C5" i="3"/>
  <c r="C5" i="5" l="1"/>
  <c r="C4" i="5"/>
  <c r="C3" i="5"/>
  <c r="B7" i="5"/>
  <c r="B10" i="5" s="1"/>
  <c r="B12" i="5" s="1"/>
  <c r="C8" i="3" s="1"/>
  <c r="C10" i="3" s="1"/>
  <c r="H5" i="3"/>
  <c r="H27" i="4"/>
  <c r="C17" i="4"/>
  <c r="H6" i="3"/>
  <c r="D7" i="3"/>
  <c r="E7" i="3" s="1"/>
  <c r="F7" i="3" s="1"/>
  <c r="G7" i="3" s="1"/>
  <c r="D9" i="3"/>
  <c r="E9" i="3" s="1"/>
  <c r="F9" i="3" s="1"/>
  <c r="G9" i="3" s="1"/>
  <c r="C13" i="3" l="1"/>
  <c r="C12" i="3"/>
  <c r="D5" i="5"/>
  <c r="D3" i="5"/>
  <c r="D4" i="5"/>
  <c r="H7" i="3"/>
  <c r="C18" i="4"/>
  <c r="D17" i="4"/>
  <c r="H9" i="3"/>
  <c r="C15" i="3" l="1"/>
  <c r="C16" i="3"/>
  <c r="C42" i="4" s="1"/>
  <c r="C7" i="5"/>
  <c r="C10" i="5" s="1"/>
  <c r="C12" i="5" s="1"/>
  <c r="D8" i="3" s="1"/>
  <c r="D10" i="3" s="1"/>
  <c r="E4" i="5"/>
  <c r="E5" i="5"/>
  <c r="E3" i="5"/>
  <c r="E17" i="4"/>
  <c r="D18" i="4"/>
  <c r="C41" i="4" l="1"/>
  <c r="D15" i="3"/>
  <c r="F4" i="5"/>
  <c r="F5" i="5"/>
  <c r="F3" i="5"/>
  <c r="D7" i="5"/>
  <c r="D10" i="5" s="1"/>
  <c r="D12" i="5" s="1"/>
  <c r="E8" i="3" s="1"/>
  <c r="E10" i="3" s="1"/>
  <c r="E18" i="4"/>
  <c r="F17" i="4"/>
  <c r="C46" i="4" l="1"/>
  <c r="C47" i="4" s="1"/>
  <c r="C53" i="4" s="1"/>
  <c r="E7" i="5"/>
  <c r="E10" i="5" s="1"/>
  <c r="E12" i="5" s="1"/>
  <c r="F8" i="3" s="1"/>
  <c r="F10" i="3" s="1"/>
  <c r="D12" i="3"/>
  <c r="D13" i="3" s="1"/>
  <c r="F18" i="4"/>
  <c r="G17" i="4"/>
  <c r="C52" i="4" l="1"/>
  <c r="D41" i="4"/>
  <c r="E12" i="3"/>
  <c r="E13" i="3" s="1"/>
  <c r="E15" i="3"/>
  <c r="F7" i="5"/>
  <c r="F10" i="5" s="1"/>
  <c r="F12" i="5" s="1"/>
  <c r="G8" i="3" s="1"/>
  <c r="G10" i="3" s="1"/>
  <c r="G18" i="4"/>
  <c r="D16" i="3" l="1"/>
  <c r="D42" i="4" s="1"/>
  <c r="F15" i="3"/>
  <c r="E41" i="4"/>
  <c r="H8" i="3"/>
  <c r="F12" i="3"/>
  <c r="F13" i="3" s="1"/>
  <c r="D46" i="4"/>
  <c r="G15" i="3" l="1"/>
  <c r="E16" i="3"/>
  <c r="F16" i="3" s="1"/>
  <c r="E46" i="4"/>
  <c r="E52" i="4" s="1"/>
  <c r="D52" i="4"/>
  <c r="D47" i="4"/>
  <c r="G12" i="3"/>
  <c r="G13" i="3" s="1"/>
  <c r="F41" i="4"/>
  <c r="H10" i="3"/>
  <c r="E42" i="4" l="1"/>
  <c r="G41" i="4"/>
  <c r="E47" i="4"/>
  <c r="D53" i="4"/>
  <c r="F42" i="4"/>
  <c r="G16" i="3"/>
  <c r="G42" i="4" s="1"/>
  <c r="F46" i="4"/>
  <c r="F52" i="4" s="1"/>
  <c r="G46" i="4" l="1"/>
  <c r="G52" i="4" s="1"/>
  <c r="F47" i="4"/>
  <c r="E53" i="4"/>
  <c r="G47" i="4" l="1"/>
  <c r="G53" i="4" s="1"/>
  <c r="F53" i="4"/>
</calcChain>
</file>

<file path=xl/sharedStrings.xml><?xml version="1.0" encoding="utf-8"?>
<sst xmlns="http://schemas.openxmlformats.org/spreadsheetml/2006/main" count="328" uniqueCount="247">
  <si>
    <t>Cloud Deployment</t>
  </si>
  <si>
    <t>Underwriting &amp; Risk Assessment</t>
  </si>
  <si>
    <t>Automated Medical Risk Assessment</t>
  </si>
  <si>
    <t>Precision in evaluating mortality/longevity risks</t>
  </si>
  <si>
    <t>73% reduction in APS reviews → $14/policy cost savings</t>
  </si>
  <si>
    <t>Conversational Illustrations</t>
  </si>
  <si>
    <t>Real-time, compliant policy illustrations</t>
  </si>
  <si>
    <t>38% faster complex case illustrations → 14% agent productivity lift</t>
  </si>
  <si>
    <t>GPU Cluster Cost/Unit</t>
  </si>
  <si>
    <t>Claims Excellence</t>
  </si>
  <si>
    <t>Accelerated Death Benefit Processing</t>
  </si>
  <si>
    <t>Faster claims processing to reduce lapses</t>
  </si>
  <si>
    <t>3-hour claims vs 22 days → 1.4% lapse reduction ($2.1M)</t>
  </si>
  <si>
    <t>Software Licenses</t>
  </si>
  <si>
    <t>Claims Fraud Constellation</t>
  </si>
  <si>
    <t>Fraud detection using AI</t>
  </si>
  <si>
    <t>0.4% fraud detection → $2.8M annual savings</t>
  </si>
  <si>
    <t>Data Migration/Cleaning</t>
  </si>
  <si>
    <t>Policyholder Retention &amp; Lifetime Value</t>
  </si>
  <si>
    <t>Dynamic Annuity Persistence Engine</t>
  </si>
  <si>
    <t>Improving persistency for long-term profitability</t>
  </si>
  <si>
    <t>1.8% persistency gain → $8.2M reserve release</t>
  </si>
  <si>
    <t>Predictive Lapse Management</t>
  </si>
  <si>
    <t>Reducing voluntary lapses</t>
  </si>
  <si>
    <t>2.1% lapse reduction → $4.8M retained</t>
  </si>
  <si>
    <t>Policyholder Health Engagement</t>
  </si>
  <si>
    <t>Wellness participation improves mortality</t>
  </si>
  <si>
    <t>12% wellness participation → 0.6% mortality improvement</t>
  </si>
  <si>
    <t>Operational Modernization</t>
  </si>
  <si>
    <t>Legacy Illustration Augmentation</t>
  </si>
  <si>
    <t>Reducing errors in legacy systems</t>
  </si>
  <si>
    <t>92% error reduction → $610k penalty avoidance</t>
  </si>
  <si>
    <t>Regulatory Change Automation</t>
  </si>
  <si>
    <t>Automating compliance updates</t>
  </si>
  <si>
    <t>$430k compliance cost savings + 83% faster LDTI</t>
  </si>
  <si>
    <t>AI-driven chatbots can handle customer inquiries 24/7, improving customer satisfaction and retention.</t>
  </si>
  <si>
    <t>Sales &amp; Distribution Innovation</t>
  </si>
  <si>
    <t>Integration Maintenance</t>
  </si>
  <si>
    <t>Intelligent Cross-Sell Engine</t>
  </si>
  <si>
    <t>AI-driven cross-sell opportunities</t>
  </si>
  <si>
    <t>23% LTC rider uptake → $1.2M premium lift</t>
  </si>
  <si>
    <t>Voice-driven tools for agent productivity</t>
  </si>
  <si>
    <t>14% agent productivity gain via voice-driven tools</t>
  </si>
  <si>
    <t>Capital &amp; Investment Optimization</t>
  </si>
  <si>
    <t>Average Annual Salary for FTEs</t>
  </si>
  <si>
    <t>AI-Driven Reinsurance Optimization</t>
  </si>
  <si>
    <t>Optimizing reinsurance treaties</t>
  </si>
  <si>
    <t>15% treaty efficiency → $6.7M cost reduction</t>
  </si>
  <si>
    <t>Asset Liability Management</t>
  </si>
  <si>
    <t>Improving investment yield</t>
  </si>
  <si>
    <t>17 bps yield improvement → $9.3M income gain</t>
  </si>
  <si>
    <t>Annual Training Budget</t>
  </si>
  <si>
    <t>Compliance &amp; Fraud Mitigation</t>
  </si>
  <si>
    <t>Regulatory Automation</t>
  </si>
  <si>
    <t>Automating compliance processes</t>
  </si>
  <si>
    <t>$1.2M annual penalty avoidance</t>
  </si>
  <si>
    <t>Claims Fraud Detection</t>
  </si>
  <si>
    <t>AI can analyze patterns in claims data to identify fraudulent activities, potentially saving millions in fraudulent payouts.</t>
  </si>
  <si>
    <t>$2.8M saved via beneficiary pattern analysis</t>
  </si>
  <si>
    <t>1) total annual loss due to fraud
2) total spend fighting fraud</t>
  </si>
  <si>
    <t>ANNUALIZED ORGANIZATION COSTS</t>
  </si>
  <si>
    <t>applicable to any ROI calculator in the suite of tools</t>
  </si>
  <si>
    <t>UPFRONT COSTS</t>
  </si>
  <si>
    <t>RUN COSTS</t>
  </si>
  <si>
    <t>Includes pilot costs, initial costs/one-time costs, or other costs incurred typically in the first year of the project.</t>
  </si>
  <si>
    <t>Once the project is up and running, these items represent Year 2+ ongoing costs.</t>
  </si>
  <si>
    <t>CATEGORY</t>
  </si>
  <si>
    <t>SUBCATEGORY</t>
  </si>
  <si>
    <t>AMOUNT</t>
  </si>
  <si>
    <t>NOTES</t>
  </si>
  <si>
    <t>TCO CALCULATOR REFERENCE</t>
  </si>
  <si>
    <t>INFRASTRUCTURE</t>
  </si>
  <si>
    <t>Infrastructure</t>
  </si>
  <si>
    <t>Cloud Spend Growth Rate</t>
  </si>
  <si>
    <t>This is a % markup to the upfront Cloud Deployment and Cloud Storage costs.</t>
  </si>
  <si>
    <t>Infrastructure - YEAR 2+</t>
  </si>
  <si>
    <t>Cloud Storage</t>
  </si>
  <si>
    <t>Cloud Reservation</t>
  </si>
  <si>
    <t>For multi-year cloud contracts; leave 0 if using Pay-As-You-Go Cloud Deployment.</t>
  </si>
  <si>
    <t>Cloud Reservation Duration (in years)</t>
  </si>
  <si>
    <t>For multi-year cloud contracts; leave 0 if using Cloud Spend Growth Rate.</t>
  </si>
  <si>
    <t>Network Setup</t>
  </si>
  <si>
    <t>Firewalls, hybrid solutions, etc. This is a Year 1 cost.</t>
  </si>
  <si>
    <t>On-prem Hardware</t>
  </si>
  <si>
    <t>One-time capex (x year depreciation); represents non-cloud solutions (e.g., Windows servers physically on-premise); this is a Year 1 cost.</t>
  </si>
  <si>
    <t>On-prem Depreciation (in years)</t>
  </si>
  <si>
    <t>Depreciation of on-prem costs spread out over the specified number of years.</t>
  </si>
  <si>
    <t>VERSION 2</t>
  </si>
  <si>
    <t>AI DEVELOPMENT &amp; CHANGE MANAGEMENT</t>
  </si>
  <si>
    <t>Pilot Costs</t>
  </si>
  <si>
    <t>Can be a fixed cost for a pilot program; this is a Year 1 cost.</t>
  </si>
  <si>
    <t>AI Development &amp; Change Management</t>
  </si>
  <si>
    <t>% of AI Development Costs and Data Migration/Cleaning</t>
  </si>
  <si>
    <t>AI Development &amp; Change Management - YEAR 2+</t>
  </si>
  <si>
    <t>Licenses related to the project build (e.g., Jira, Azure DevOps, Databricks and other user licenses).</t>
  </si>
  <si>
    <t>Proof of Concept Testing</t>
  </si>
  <si>
    <t>UAT testing phase</t>
  </si>
  <si>
    <t>Change Management workshop</t>
  </si>
  <si>
    <t>Training for the organization (e.g., IT Developers, Customer Service, Claims, Underwriting, etc.).</t>
  </si>
  <si>
    <t>AI Development Costs</t>
  </si>
  <si>
    <t>Model training, fine-tuning, retraining costs</t>
  </si>
  <si>
    <t>Expect this cost to be significant.</t>
  </si>
  <si>
    <t>SaaS Costs</t>
  </si>
  <si>
    <t>This represents a 3rd party, pre-built SaaS component, built into your AI solution.</t>
  </si>
  <si>
    <t>OPERATIONS</t>
  </si>
  <si>
    <t>Maintenance and Support</t>
  </si>
  <si>
    <t>Regular updates, bug fixes, and technical support.</t>
  </si>
  <si>
    <t>Operations</t>
  </si>
  <si>
    <t>Annual Inflation Rate</t>
  </si>
  <si>
    <t>VERSION 2 (IF NEEDED)</t>
  </si>
  <si>
    <t>Monitoring and Performance Management</t>
  </si>
  <si>
    <t>% of initial dev cost annually; Ongoing costs for maintaining and updating integrations between systems.</t>
  </si>
  <si>
    <t>Operations - YEAR 2+</t>
  </si>
  <si>
    <t>STAFFING</t>
  </si>
  <si>
    <t>Total headcount involved in building the AI solution.</t>
  </si>
  <si>
    <t>Staffing</t>
  </si>
  <si>
    <t>Talent Premium Inflation</t>
  </si>
  <si>
    <t>% growth of total headcount Average Annual Salary, Training, and Overhead costs.</t>
  </si>
  <si>
    <t>Staffing - YEAR 2+</t>
  </si>
  <si>
    <t>Average annual salary of the total headcount involved in building the AI solution.</t>
  </si>
  <si>
    <t>Professional Services</t>
  </si>
  <si>
    <t xml:space="preserve">This refers to the allocation of financial resources for hiring external consultants and experts to assist in the development and implementation of the AI solution. </t>
  </si>
  <si>
    <t>Outsourced Services</t>
  </si>
  <si>
    <t>This refers to the allocation of financial resources for external technical support and services that are contracted out to third-party providers.</t>
  </si>
  <si>
    <t>RISK &amp; COMPLIANCE</t>
  </si>
  <si>
    <t>This refers to the allocation of financial resources to ensure the security and protection of your AI solution. It includes costs associated with implementing and maintaining security measures to safeguard the system against potential threats and vulnerabilities.</t>
  </si>
  <si>
    <t>Risk &amp; Compliance</t>
  </si>
  <si>
    <t>Regulatory Compliance Growth</t>
  </si>
  <si>
    <t>Costs associated with ensuring compliance with regulatory requirements, which may increase over time.</t>
  </si>
  <si>
    <t>Risk &amp; Compliance - YEAR 2+</t>
  </si>
  <si>
    <t>Costs for conducting regular security audits and assessments to identify and mitigate potential security risks.</t>
  </si>
  <si>
    <t>Expenses for reviewing and drafting contracts related to the development, deployment, and use of the AI solution.</t>
  </si>
  <si>
    <t>RISK-ADJUSTMENT FACTORS</t>
  </si>
  <si>
    <t>Implementation Delay Probability</t>
  </si>
  <si>
    <t>Probability of the AI project being delayed.</t>
  </si>
  <si>
    <t>Risk-Adjustment Factors</t>
  </si>
  <si>
    <t>Risk-Adjustment Duration (in years)</t>
  </si>
  <si>
    <t>Total number of years to apply the Risk-Adjustment Factors.</t>
  </si>
  <si>
    <t>Risk-Adjustment Factors - Year 2+</t>
  </si>
  <si>
    <t>Cost of a delay of the AI project expressed as a percentage. This will be calculated against the overall AI project costs, multiplied by the delay probability.</t>
  </si>
  <si>
    <t>Data Quality Issues Probability</t>
  </si>
  <si>
    <t>TOTAL COST OF OWNERSHIP CALCULATOR</t>
  </si>
  <si>
    <t>COST CATEGORY</t>
  </si>
  <si>
    <t>YEAR 1</t>
  </si>
  <si>
    <t>YEAR 2</t>
  </si>
  <si>
    <t>YEAR 3</t>
  </si>
  <si>
    <t>YEAR 4</t>
  </si>
  <si>
    <t>YEAR 5</t>
  </si>
  <si>
    <t>5-YEAR TOTAL</t>
  </si>
  <si>
    <t>TOTAL COSTS</t>
  </si>
  <si>
    <t>FINAL RISK-ADJUSTED TCO</t>
  </si>
  <si>
    <t>CUMULATIVE TOTAL COST</t>
  </si>
  <si>
    <t>FINAL CUMULATIVE RISK-ADJUSTED TCO</t>
  </si>
  <si>
    <t>CUSTOMER SERVICE OPERATIONS</t>
  </si>
  <si>
    <t>Traditional Service vs. Chatbot-Enabled Service Comparison</t>
  </si>
  <si>
    <r>
      <t xml:space="preserve">TRADITIONAL SERVICE METRICS </t>
    </r>
    <r>
      <rPr>
        <b/>
        <sz val="12"/>
        <color theme="0"/>
        <rFont val="Aptos Narrow"/>
        <family val="2"/>
        <scheme val="minor"/>
      </rPr>
      <t>(BEFORE CHATBOT-ENABLED SERVICE)</t>
    </r>
  </si>
  <si>
    <t>CUSTOMER SERVICE OPERATING COST INPUTS</t>
  </si>
  <si>
    <t>CALCULATED OPERATING COSTS</t>
  </si>
  <si>
    <t>Annual Call Volume</t>
  </si>
  <si>
    <t>Average Call Duration (in minutes)</t>
  </si>
  <si>
    <t>Cost Per Agent Minute</t>
  </si>
  <si>
    <t>First Call Resolution Rate</t>
  </si>
  <si>
    <t>Escalation Rate</t>
  </si>
  <si>
    <t>TOTAL TRADITIONAL SERVICE COSTS</t>
  </si>
  <si>
    <t>CUMULATIVE TRADITIONAL SERVICE COSTS</t>
  </si>
  <si>
    <r>
      <t xml:space="preserve">CHATBOT SERVICE METRICS </t>
    </r>
    <r>
      <rPr>
        <b/>
        <sz val="12"/>
        <color theme="0"/>
        <rFont val="Aptos Narrow"/>
        <family val="2"/>
        <scheme val="minor"/>
      </rPr>
      <t>(DRIVERS OF CHATBOT-ENABLED CUSTOMER SERVICE OPERATIONS)</t>
    </r>
  </si>
  <si>
    <t>CHATBOT-ENABLED INPUTS</t>
  </si>
  <si>
    <t>REDUCED COSTS FROM CHATBOT-ENABLEMENT</t>
  </si>
  <si>
    <t>Chatbot Containment Rate</t>
  </si>
  <si>
    <t>Average Agent Time with AI (in minutes)</t>
  </si>
  <si>
    <t>Calls Requiring Human Agents</t>
  </si>
  <si>
    <t>First-call Resolution with AI</t>
  </si>
  <si>
    <t>Human Agent Minutes</t>
  </si>
  <si>
    <t>Self-service Adoption Rate</t>
  </si>
  <si>
    <t>Risk-Adjusted Yearly Costs</t>
  </si>
  <si>
    <t>Risk-Adjusted Cumulative Costs</t>
  </si>
  <si>
    <t>ANNUAL CHATBOT-ENABLED SERVICE OPERATION COST</t>
  </si>
  <si>
    <t>CUMULATIVE CHATBOT-ENABLED SERVICE OPERATION COST</t>
  </si>
  <si>
    <t>ANNUAL RETURN ON INVESTMENT</t>
  </si>
  <si>
    <t>YEARLY ROI</t>
  </si>
  <si>
    <t>CUMULATIVE ROI</t>
  </si>
  <si>
    <t>VALUE DOMAINS</t>
  </si>
  <si>
    <t>VALUE DRIVERS</t>
  </si>
  <si>
    <t>DESCRIPTION</t>
  </si>
  <si>
    <t>ROI EXAMPLE</t>
  </si>
  <si>
    <t>SPECIFIC DRIVERS</t>
  </si>
  <si>
    <t>Customer Service Transformation</t>
  </si>
  <si>
    <t>AI ROI CALCULATOR USE CASES</t>
  </si>
  <si>
    <t>10% decrease in customer calls to human agents;
20% increase in call resolution with chatbot helpers</t>
  </si>
  <si>
    <t>(1) Annual call volume
(2) Expected AI-enabled chatbot containment</t>
  </si>
  <si>
    <t>(Annual Call Volume * Chatbot Containment Rate)</t>
  </si>
  <si>
    <t>(Annual Call Volume - Chatbot Containment Rate)</t>
  </si>
  <si>
    <t>(Calls Requiring Human Agents * Average Agent Time with AI)</t>
  </si>
  <si>
    <t>Total Agent Cost</t>
  </si>
  <si>
    <t>(Total Agent Minutes * Cost Per Agent Minute)</t>
  </si>
  <si>
    <t>Total Agent Minutes</t>
  </si>
  <si>
    <t>(Annual Call Volume * Average Call Duration)</t>
  </si>
  <si>
    <t>Forms Processing Time (in minutes) - VERSION 2</t>
  </si>
  <si>
    <t>Value/Policy Lookup Time (in minutes) - VERSION 2</t>
  </si>
  <si>
    <t>Escalation Rate Markup</t>
  </si>
  <si>
    <t>Cost of Escalations</t>
  </si>
  <si>
    <t>(Total Agent Cost * Escalation Rate * Escalation Rate Markup)</t>
  </si>
  <si>
    <r>
      <rPr>
        <b/>
        <sz val="8"/>
        <color theme="1"/>
        <rFont val="Aptos Narrow"/>
        <family val="2"/>
        <scheme val="minor"/>
      </rPr>
      <t xml:space="preserve">NOTE:  </t>
    </r>
    <r>
      <rPr>
        <sz val="8"/>
        <color theme="1"/>
        <rFont val="Aptos Narrow"/>
        <family val="2"/>
        <scheme val="minor"/>
      </rPr>
      <t>Years 2-5 use the Talent Premium Inflation rate from Organization Costs</t>
    </r>
  </si>
  <si>
    <t>CHATBOT-ENABLED ESTIMATED OPERATING COSTS</t>
  </si>
  <si>
    <t>CHATBOT-ENABLED ESTIMATED OPERATING COSTS + AI IMPLEMENTATION COSTS</t>
  </si>
  <si>
    <t>Chatbot-Enaabled Estimated Operating Costs + AI Implementation Costs Risk Adjusted Yearly Costs [per year]</t>
  </si>
  <si>
    <t>Cumulative Chatbot-enabled Estimated Operating Costs starting at YEAR 1</t>
  </si>
  <si>
    <t>AI IMPLEMENTATION COSTS</t>
  </si>
  <si>
    <t>(from the TCO Calculator)</t>
  </si>
  <si>
    <t>(Traditional Service Costs - Annual Chatbot-Enabled Service Operation Costs) / Annual Chatbot-Enabled Service Operation Cost</t>
  </si>
  <si>
    <t>(Cumulative Traditional Service Costs - Cumulative Chatbot-Enabled Service Operation Costs) / Cumulative Chatbot-Enabled Service Operation Cost</t>
  </si>
  <si>
    <t>Security Budget</t>
  </si>
  <si>
    <t>Audits and Internal Review Costs</t>
  </si>
  <si>
    <t>Legal Review</t>
  </si>
  <si>
    <t>Retraining Costs</t>
  </si>
  <si>
    <t>Regulatory Change Probability</t>
  </si>
  <si>
    <t>Cost Impact of Regulatory Change</t>
  </si>
  <si>
    <t>Cost Impact of Data Quality Issues</t>
  </si>
  <si>
    <t>Cost Impact on Implementation Delay</t>
  </si>
  <si>
    <t>Pay-As-You-Go cloud services. Includes VPCs; will have a growth factor in Year 2+.</t>
  </si>
  <si>
    <t>Pay-As-You-Go cloud services. Includes data lakes, etc.; will have a growth factor in Year 2+.</t>
  </si>
  <si>
    <t>Costs associated with locating and assessing data, ETL/ELT, and moving data to new structures and/or architectures.</t>
  </si>
  <si>
    <t>Tools and services to monitor system performance and ensure uptime, as well as other tools for fairness and bias checking.</t>
  </si>
  <si>
    <t>Chatbot Conversations Handled by AI</t>
  </si>
  <si>
    <t>Human Agent Cost with AI Improvement</t>
  </si>
  <si>
    <t>Human Agent Minutes with AI Improvement</t>
  </si>
  <si>
    <t>Calls Requiring Human Agents with AI Improvement</t>
  </si>
  <si>
    <t>Chatbot Containment Rate Annual AI Improvement</t>
  </si>
  <si>
    <t>(Human Agent Cost [per year] * Escalation Rate * Escalation Rate Markup)</t>
  </si>
  <si>
    <t>Cost of Escalations with AI Improvement</t>
  </si>
  <si>
    <t>Talent Reduced Project Workload</t>
  </si>
  <si>
    <t>This represents the YoY % decrease in effort for a resource assigned to this development project.</t>
  </si>
  <si>
    <t># of FTEs</t>
  </si>
  <si>
    <t>Annual training budget, per FTE, for training involved in this project.</t>
  </si>
  <si>
    <t>Annual Salary</t>
  </si>
  <si>
    <t>Annual Training</t>
  </si>
  <si>
    <t>FTEs</t>
  </si>
  <si>
    <t>ANNUAL FTE COSTS</t>
  </si>
  <si>
    <t>TOTAL SALARY</t>
  </si>
  <si>
    <t>TOTAL SALARY TO PROJECT</t>
  </si>
  <si>
    <t>TOTAL ANNUAL STAFFING</t>
  </si>
  <si>
    <t>Talent Inflation/Salary Increase</t>
  </si>
  <si>
    <t>TCO STAFFING</t>
  </si>
  <si>
    <t>Overhead Costs</t>
  </si>
  <si>
    <t>Annual overhead costs, or indirect costs, for each FTE on the project.</t>
  </si>
  <si>
    <t>(1) Processing time 
(2) Operational cost savings</t>
  </si>
  <si>
    <t>Workload Decrease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</si>
</sst>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21"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i/>
      <sz val="11"/>
      <color theme="1"/>
      <name val="Aptos Narrow"/>
      <family val="2"/>
      <scheme val="minor"/>
    </font>
    <font>
      <b/>
      <sz val="36"/>
      <color theme="0"/>
      <name val="Aptos Narrow"/>
      <family val="2"/>
      <scheme val="minor"/>
    </font>
    <font>
      <b/>
      <i/>
      <sz val="11"/>
      <color theme="4" tint="-0.499984740745262"/>
      <name val="Aptos Narrow"/>
      <family val="2"/>
      <scheme val="minor"/>
    </font>
    <font>
      <b/>
      <sz val="18"/>
      <color theme="0"/>
      <name val="Aptos Narrow"/>
      <family val="2"/>
      <scheme val="minor"/>
    </font>
    <font>
      <b/>
      <sz val="11"/>
      <name val="Aptos Narrow"/>
      <family val="2"/>
      <scheme val="minor"/>
    </font>
    <font>
      <b/>
      <sz val="18"/>
      <color theme="1"/>
      <name val="Aptos Narrow"/>
      <family val="2"/>
      <scheme val="minor"/>
    </font>
    <font>
      <b/>
      <sz val="12"/>
      <color theme="0"/>
      <name val="Aptos Narrow"/>
      <family val="2"/>
      <scheme val="minor"/>
    </font>
    <font>
      <b/>
      <sz val="14"/>
      <color theme="0"/>
      <name val="Aptos Narrow"/>
      <family val="2"/>
      <scheme val="minor"/>
    </font>
    <font>
      <sz val="14"/>
      <color theme="0"/>
      <name val="Aptos Narrow"/>
      <family val="2"/>
      <scheme val="minor"/>
    </font>
    <font>
      <sz val="14"/>
      <color theme="1"/>
      <name val="Aptos Narrow"/>
      <family val="2"/>
      <scheme val="minor"/>
    </font>
    <font>
      <sz val="11"/>
      <name val="Aptos Narrow"/>
      <family val="2"/>
      <scheme val="minor"/>
    </font>
    <font>
      <sz val="8"/>
      <color theme="1"/>
      <name val="Aptos Narrow"/>
      <family val="2"/>
      <scheme val="minor"/>
    </font>
    <font>
      <i/>
      <sz val="11"/>
      <color theme="0"/>
      <name val="Aptos Narrow"/>
      <family val="2"/>
      <scheme val="minor"/>
    </font>
    <font>
      <sz val="18"/>
      <color theme="1"/>
      <name val="Aptos Narrow"/>
      <family val="2"/>
      <scheme val="minor"/>
    </font>
    <font>
      <b/>
      <sz val="8"/>
      <color theme="1"/>
      <name val="Aptos Narrow"/>
      <family val="2"/>
      <scheme val="minor"/>
    </font>
  </fonts>
  <fills count="24">
    <fill>
      <patternFill patternType="none"/>
    </fill>
    <fill>
      <patternFill patternType="gray125"/>
    </fill>
    <fill>
      <patternFill patternType="solid">
        <fgColor rgb="FF00B05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1"/>
        <bgColor indexed="64"/>
      </patternFill>
    </fill>
  </fills>
  <borders count="2">
    <border>
      <left/>
      <right/>
      <top/>
      <bottom/>
      <diagonal/>
    </border>
    <border>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73">
    <xf numFmtId="0" fontId="0" fillId="0" borderId="0" xfId="0"/>
    <xf numFmtId="0" fontId="0" fillId="0" borderId="0" xfId="0" applyAlignment="1">
      <alignment vertical="top"/>
    </xf>
    <xf numFmtId="0" fontId="0" fillId="0" borderId="0" xfId="0" applyAlignment="1">
      <alignment vertical="top" wrapText="1"/>
    </xf>
    <xf numFmtId="0" fontId="4" fillId="0" borderId="0" xfId="0" applyFont="1" applyAlignment="1">
      <alignment vertical="top"/>
    </xf>
    <xf numFmtId="0" fontId="0" fillId="2" borderId="0" xfId="0" applyFill="1" applyAlignment="1">
      <alignment vertical="top"/>
    </xf>
    <xf numFmtId="0" fontId="0" fillId="2" borderId="0" xfId="0" applyFill="1" applyAlignment="1">
      <alignment vertical="top" wrapText="1"/>
    </xf>
    <xf numFmtId="0" fontId="0" fillId="0" borderId="0" xfId="0" applyAlignment="1">
      <alignment wrapText="1"/>
    </xf>
    <xf numFmtId="0" fontId="4" fillId="0" borderId="0" xfId="0" applyFont="1"/>
    <xf numFmtId="0" fontId="7" fillId="3" borderId="0" xfId="0" applyFont="1" applyFill="1" applyAlignment="1">
      <alignment vertical="center"/>
    </xf>
    <xf numFmtId="0" fontId="5" fillId="3" borderId="0" xfId="0" applyFont="1" applyFill="1" applyAlignment="1">
      <alignment vertical="top"/>
    </xf>
    <xf numFmtId="0" fontId="5" fillId="3" borderId="0" xfId="0" applyFont="1" applyFill="1" applyAlignment="1">
      <alignment vertical="top" wrapText="1"/>
    </xf>
    <xf numFmtId="0" fontId="0" fillId="3" borderId="0" xfId="0" applyFill="1" applyAlignment="1">
      <alignment vertical="top" wrapText="1"/>
    </xf>
    <xf numFmtId="0" fontId="8" fillId="0" borderId="0" xfId="0" applyFont="1" applyAlignment="1">
      <alignment vertical="top"/>
    </xf>
    <xf numFmtId="0" fontId="9" fillId="4" borderId="0" xfId="0" applyFont="1" applyFill="1" applyAlignment="1">
      <alignment vertical="top"/>
    </xf>
    <xf numFmtId="0" fontId="9" fillId="4" borderId="0" xfId="0" applyFont="1" applyFill="1" applyAlignment="1">
      <alignment vertical="top" wrapText="1"/>
    </xf>
    <xf numFmtId="0" fontId="10" fillId="4" borderId="0" xfId="0" applyFont="1" applyFill="1" applyAlignment="1">
      <alignment horizontal="center" vertical="top"/>
    </xf>
    <xf numFmtId="0" fontId="9" fillId="0" borderId="0" xfId="0" applyFont="1" applyAlignment="1">
      <alignment vertical="top"/>
    </xf>
    <xf numFmtId="0" fontId="11" fillId="4" borderId="0" xfId="0" applyFont="1" applyFill="1" applyAlignment="1">
      <alignment vertical="top" wrapText="1"/>
    </xf>
    <xf numFmtId="0" fontId="11" fillId="0" borderId="0" xfId="0" applyFont="1" applyAlignment="1">
      <alignment vertical="top"/>
    </xf>
    <xf numFmtId="0" fontId="2" fillId="5" borderId="0" xfId="0" applyFont="1" applyFill="1" applyAlignment="1">
      <alignment vertical="top"/>
    </xf>
    <xf numFmtId="0" fontId="2" fillId="5" borderId="0" xfId="0" applyFont="1" applyFill="1" applyAlignment="1">
      <alignment vertical="top" wrapText="1"/>
    </xf>
    <xf numFmtId="0" fontId="13" fillId="6" borderId="0" xfId="0" applyFont="1" applyFill="1" applyAlignment="1">
      <alignment vertical="top"/>
    </xf>
    <xf numFmtId="0" fontId="14" fillId="6" borderId="0" xfId="0" applyFont="1" applyFill="1" applyAlignment="1">
      <alignment vertical="top"/>
    </xf>
    <xf numFmtId="0" fontId="14" fillId="6" borderId="0" xfId="0" applyFont="1" applyFill="1" applyAlignment="1">
      <alignment vertical="top" wrapText="1"/>
    </xf>
    <xf numFmtId="0" fontId="15" fillId="0" borderId="0" xfId="0" applyFont="1" applyAlignment="1">
      <alignment vertical="top"/>
    </xf>
    <xf numFmtId="0" fontId="14" fillId="0" borderId="0" xfId="0" applyFont="1" applyAlignment="1">
      <alignment vertical="top"/>
    </xf>
    <xf numFmtId="0" fontId="15" fillId="0" borderId="0" xfId="0" applyFont="1" applyAlignment="1">
      <alignment vertical="top" wrapText="1"/>
    </xf>
    <xf numFmtId="0" fontId="0" fillId="7" borderId="0" xfId="0" applyFill="1" applyAlignment="1">
      <alignment vertical="top"/>
    </xf>
    <xf numFmtId="164" fontId="0" fillId="7" borderId="0" xfId="2" applyNumberFormat="1" applyFont="1" applyFill="1" applyAlignment="1">
      <alignment vertical="top"/>
    </xf>
    <xf numFmtId="0" fontId="0" fillId="7" borderId="0" xfId="0" applyFill="1" applyAlignment="1">
      <alignment vertical="top" wrapText="1"/>
    </xf>
    <xf numFmtId="0" fontId="0" fillId="8" borderId="0" xfId="0" applyFill="1" applyAlignment="1">
      <alignment vertical="top"/>
    </xf>
    <xf numFmtId="9" fontId="0" fillId="8" borderId="0" xfId="0" applyNumberFormat="1" applyFill="1" applyAlignment="1">
      <alignment vertical="top"/>
    </xf>
    <xf numFmtId="0" fontId="0" fillId="8" borderId="0" xfId="0" applyFill="1" applyAlignment="1">
      <alignment vertical="top" wrapText="1"/>
    </xf>
    <xf numFmtId="0" fontId="16" fillId="7" borderId="0" xfId="0" applyFont="1" applyFill="1" applyAlignment="1">
      <alignment vertical="top"/>
    </xf>
    <xf numFmtId="164" fontId="16" fillId="7" borderId="0" xfId="2" applyNumberFormat="1" applyFont="1" applyFill="1" applyAlignment="1">
      <alignment vertical="top"/>
    </xf>
    <xf numFmtId="0" fontId="16" fillId="7" borderId="0" xfId="0" applyFont="1" applyFill="1" applyAlignment="1">
      <alignment vertical="top" wrapText="1"/>
    </xf>
    <xf numFmtId="165" fontId="0" fillId="8" borderId="0" xfId="1" applyNumberFormat="1" applyFont="1" applyFill="1" applyAlignment="1">
      <alignment vertical="top"/>
    </xf>
    <xf numFmtId="0" fontId="16" fillId="8" borderId="0" xfId="0" applyFont="1" applyFill="1" applyAlignment="1">
      <alignment vertical="top" wrapText="1"/>
    </xf>
    <xf numFmtId="0" fontId="16" fillId="0" borderId="0" xfId="0" applyFont="1" applyAlignment="1">
      <alignment vertical="top"/>
    </xf>
    <xf numFmtId="0" fontId="16" fillId="0" borderId="0" xfId="0" applyFont="1" applyAlignment="1">
      <alignment vertical="top" wrapText="1"/>
    </xf>
    <xf numFmtId="0" fontId="5" fillId="9" borderId="0" xfId="0" applyFont="1" applyFill="1" applyAlignment="1">
      <alignment vertical="top"/>
    </xf>
    <xf numFmtId="0" fontId="5" fillId="9" borderId="0" xfId="2" applyNumberFormat="1" applyFont="1" applyFill="1" applyAlignment="1">
      <alignment vertical="top"/>
    </xf>
    <xf numFmtId="0" fontId="5" fillId="9" borderId="0" xfId="0" applyFont="1" applyFill="1" applyAlignment="1">
      <alignment vertical="top" wrapText="1"/>
    </xf>
    <xf numFmtId="0" fontId="0" fillId="0" borderId="0" xfId="2" applyNumberFormat="1" applyFont="1" applyFill="1" applyAlignment="1">
      <alignment vertical="top"/>
    </xf>
    <xf numFmtId="0" fontId="3" fillId="0" borderId="0" xfId="0" applyFont="1" applyAlignment="1">
      <alignment vertical="top" wrapText="1"/>
    </xf>
    <xf numFmtId="0" fontId="0" fillId="5" borderId="0" xfId="0" applyFill="1" applyAlignment="1">
      <alignment vertical="top"/>
    </xf>
    <xf numFmtId="164" fontId="0" fillId="5" borderId="0" xfId="2" applyNumberFormat="1" applyFont="1" applyFill="1" applyAlignment="1">
      <alignment vertical="top"/>
    </xf>
    <xf numFmtId="0" fontId="0" fillId="5" borderId="0" xfId="0" applyFill="1" applyAlignment="1">
      <alignment vertical="top" wrapText="1"/>
    </xf>
    <xf numFmtId="0" fontId="0" fillId="10" borderId="0" xfId="0" applyFill="1" applyAlignment="1">
      <alignment vertical="top"/>
    </xf>
    <xf numFmtId="9" fontId="0" fillId="10" borderId="0" xfId="3" applyFont="1" applyFill="1" applyAlignment="1">
      <alignment vertical="top"/>
    </xf>
    <xf numFmtId="0" fontId="0" fillId="10" borderId="0" xfId="0" applyFill="1" applyAlignment="1">
      <alignment vertical="top" wrapText="1"/>
    </xf>
    <xf numFmtId="164" fontId="0" fillId="10" borderId="0" xfId="2" applyNumberFormat="1" applyFont="1" applyFill="1" applyAlignment="1">
      <alignment vertical="top"/>
    </xf>
    <xf numFmtId="164" fontId="0" fillId="0" borderId="0" xfId="2" applyNumberFormat="1" applyFont="1" applyFill="1" applyAlignment="1">
      <alignment vertical="top"/>
    </xf>
    <xf numFmtId="164" fontId="5" fillId="9" borderId="0" xfId="2" applyNumberFormat="1" applyFont="1" applyFill="1" applyAlignment="1">
      <alignment vertical="top"/>
    </xf>
    <xf numFmtId="0" fontId="0" fillId="11" borderId="0" xfId="0" applyFill="1" applyAlignment="1">
      <alignment vertical="top"/>
    </xf>
    <xf numFmtId="164" fontId="0" fillId="11" borderId="0" xfId="2" applyNumberFormat="1" applyFont="1" applyFill="1" applyAlignment="1">
      <alignment vertical="top"/>
    </xf>
    <xf numFmtId="0" fontId="0" fillId="11" borderId="0" xfId="0" applyFill="1" applyAlignment="1">
      <alignment vertical="top" wrapText="1"/>
    </xf>
    <xf numFmtId="9" fontId="5" fillId="9" borderId="0" xfId="0" applyNumberFormat="1" applyFont="1" applyFill="1" applyAlignment="1">
      <alignment vertical="top"/>
    </xf>
    <xf numFmtId="0" fontId="16" fillId="11" borderId="0" xfId="0" applyFont="1" applyFill="1" applyAlignment="1">
      <alignment vertical="top"/>
    </xf>
    <xf numFmtId="164" fontId="16" fillId="11" borderId="0" xfId="2" applyNumberFormat="1" applyFont="1" applyFill="1" applyAlignment="1">
      <alignment vertical="top"/>
    </xf>
    <xf numFmtId="0" fontId="16" fillId="11" borderId="0" xfId="0" applyFont="1" applyFill="1" applyAlignment="1">
      <alignment vertical="top" wrapText="1"/>
    </xf>
    <xf numFmtId="0" fontId="0" fillId="12" borderId="0" xfId="0" applyFill="1" applyAlignment="1">
      <alignment vertical="top"/>
    </xf>
    <xf numFmtId="9" fontId="0" fillId="12" borderId="0" xfId="0" applyNumberFormat="1" applyFill="1" applyAlignment="1">
      <alignment vertical="top"/>
    </xf>
    <xf numFmtId="0" fontId="0" fillId="12" borderId="0" xfId="0" applyFill="1" applyAlignment="1">
      <alignment vertical="top" wrapText="1"/>
    </xf>
    <xf numFmtId="0" fontId="0" fillId="13" borderId="0" xfId="0" applyFill="1" applyAlignment="1">
      <alignment vertical="top"/>
    </xf>
    <xf numFmtId="165" fontId="0" fillId="13" borderId="0" xfId="1" applyNumberFormat="1" applyFont="1" applyFill="1" applyAlignment="1">
      <alignment vertical="top"/>
    </xf>
    <xf numFmtId="0" fontId="0" fillId="13" borderId="0" xfId="0" applyFill="1" applyAlignment="1">
      <alignment vertical="top" wrapText="1"/>
    </xf>
    <xf numFmtId="0" fontId="0" fillId="14" borderId="0" xfId="0" applyFill="1" applyAlignment="1">
      <alignment vertical="top"/>
    </xf>
    <xf numFmtId="9" fontId="0" fillId="14" borderId="0" xfId="0" applyNumberFormat="1" applyFill="1" applyAlignment="1">
      <alignment vertical="top"/>
    </xf>
    <xf numFmtId="0" fontId="0" fillId="14" borderId="0" xfId="0" applyFill="1" applyAlignment="1">
      <alignment vertical="top" wrapText="1"/>
    </xf>
    <xf numFmtId="164" fontId="0" fillId="13" borderId="0" xfId="2" applyNumberFormat="1" applyFont="1" applyFill="1" applyAlignment="1">
      <alignment vertical="top"/>
    </xf>
    <xf numFmtId="164" fontId="0" fillId="14" borderId="0" xfId="2" applyNumberFormat="1" applyFont="1" applyFill="1" applyAlignment="1">
      <alignment vertical="top"/>
    </xf>
    <xf numFmtId="0" fontId="0" fillId="15" borderId="0" xfId="0" applyFill="1" applyAlignment="1">
      <alignment vertical="top"/>
    </xf>
    <xf numFmtId="164" fontId="0" fillId="15" borderId="0" xfId="2" applyNumberFormat="1" applyFont="1" applyFill="1" applyAlignment="1">
      <alignment vertical="top"/>
    </xf>
    <xf numFmtId="0" fontId="0" fillId="15" borderId="0" xfId="0" applyFill="1" applyAlignment="1">
      <alignment vertical="top" wrapText="1"/>
    </xf>
    <xf numFmtId="0" fontId="0" fillId="16" borderId="0" xfId="0" applyFill="1" applyAlignment="1">
      <alignment vertical="top"/>
    </xf>
    <xf numFmtId="9" fontId="0" fillId="16" borderId="0" xfId="0" applyNumberFormat="1" applyFill="1" applyAlignment="1">
      <alignment vertical="top"/>
    </xf>
    <xf numFmtId="0" fontId="0" fillId="16" borderId="0" xfId="0" applyFill="1" applyAlignment="1">
      <alignment vertical="top" wrapText="1"/>
    </xf>
    <xf numFmtId="0" fontId="0" fillId="17" borderId="0" xfId="0" applyFill="1" applyAlignment="1">
      <alignment vertical="top"/>
    </xf>
    <xf numFmtId="9" fontId="0" fillId="17" borderId="0" xfId="0" applyNumberFormat="1" applyFill="1" applyAlignment="1">
      <alignment vertical="top"/>
    </xf>
    <xf numFmtId="0" fontId="0" fillId="17" borderId="0" xfId="0" applyFill="1" applyAlignment="1">
      <alignment vertical="top" wrapText="1"/>
    </xf>
    <xf numFmtId="0" fontId="0" fillId="18" borderId="0" xfId="0" applyFill="1" applyAlignment="1">
      <alignment vertical="top"/>
    </xf>
    <xf numFmtId="1" fontId="0" fillId="18" borderId="0" xfId="0" applyNumberFormat="1" applyFill="1" applyAlignment="1">
      <alignment vertical="top"/>
    </xf>
    <xf numFmtId="0" fontId="16" fillId="18" borderId="0" xfId="0" applyFont="1" applyFill="1" applyAlignment="1">
      <alignment vertical="top" wrapText="1"/>
    </xf>
    <xf numFmtId="0" fontId="0" fillId="18" borderId="0" xfId="0" applyFill="1" applyAlignment="1">
      <alignment vertical="top" wrapText="1"/>
    </xf>
    <xf numFmtId="0" fontId="2" fillId="4" borderId="0" xfId="0" applyFont="1" applyFill="1" applyAlignment="1">
      <alignment vertical="center"/>
    </xf>
    <xf numFmtId="0" fontId="2" fillId="4" borderId="0" xfId="0" applyFont="1" applyFill="1" applyAlignment="1">
      <alignment horizontal="right" vertical="center"/>
    </xf>
    <xf numFmtId="0" fontId="0" fillId="0" borderId="0" xfId="0" applyAlignment="1">
      <alignment vertical="center"/>
    </xf>
    <xf numFmtId="0" fontId="0" fillId="7" borderId="0" xfId="0" applyFill="1" applyAlignment="1">
      <alignment vertical="center"/>
    </xf>
    <xf numFmtId="164" fontId="0" fillId="7" borderId="0" xfId="2" applyNumberFormat="1" applyFont="1" applyFill="1" applyBorder="1" applyAlignment="1">
      <alignment vertical="center"/>
    </xf>
    <xf numFmtId="164" fontId="0" fillId="8" borderId="0" xfId="2" applyNumberFormat="1" applyFont="1" applyFill="1" applyBorder="1" applyAlignment="1">
      <alignment vertical="center"/>
    </xf>
    <xf numFmtId="164" fontId="4" fillId="0" borderId="0" xfId="2" applyNumberFormat="1" applyFont="1" applyBorder="1" applyAlignment="1">
      <alignment vertical="center"/>
    </xf>
    <xf numFmtId="0" fontId="0" fillId="5" borderId="0" xfId="0" applyFill="1" applyAlignment="1">
      <alignment vertical="center"/>
    </xf>
    <xf numFmtId="164" fontId="0" fillId="5" borderId="0" xfId="2" applyNumberFormat="1" applyFont="1" applyFill="1" applyBorder="1" applyAlignment="1">
      <alignment vertical="center"/>
    </xf>
    <xf numFmtId="164" fontId="0" fillId="10" borderId="0" xfId="2" applyNumberFormat="1" applyFont="1" applyFill="1" applyBorder="1" applyAlignment="1">
      <alignment vertical="center"/>
    </xf>
    <xf numFmtId="0" fontId="0" fillId="11" borderId="0" xfId="0" applyFill="1" applyAlignment="1">
      <alignment vertical="center"/>
    </xf>
    <xf numFmtId="164" fontId="0" fillId="11" borderId="0" xfId="2" applyNumberFormat="1" applyFont="1" applyFill="1" applyBorder="1" applyAlignment="1">
      <alignment vertical="center"/>
    </xf>
    <xf numFmtId="164" fontId="0" fillId="12" borderId="0" xfId="2" applyNumberFormat="1" applyFont="1" applyFill="1" applyBorder="1" applyAlignment="1">
      <alignment vertical="center"/>
    </xf>
    <xf numFmtId="0" fontId="0" fillId="13" borderId="0" xfId="0" applyFill="1" applyAlignment="1">
      <alignment vertical="center"/>
    </xf>
    <xf numFmtId="164" fontId="0" fillId="13" borderId="0" xfId="2" applyNumberFormat="1" applyFont="1" applyFill="1" applyBorder="1" applyAlignment="1">
      <alignment vertical="center"/>
    </xf>
    <xf numFmtId="164" fontId="0" fillId="14" borderId="0" xfId="2" applyNumberFormat="1" applyFont="1" applyFill="1" applyBorder="1" applyAlignment="1">
      <alignment vertical="center"/>
    </xf>
    <xf numFmtId="0" fontId="0" fillId="15" borderId="1" xfId="0" applyFill="1" applyBorder="1" applyAlignment="1">
      <alignment vertical="center"/>
    </xf>
    <xf numFmtId="164" fontId="0" fillId="15" borderId="1" xfId="2" applyNumberFormat="1" applyFont="1" applyFill="1" applyBorder="1" applyAlignment="1">
      <alignment vertical="center"/>
    </xf>
    <xf numFmtId="164" fontId="0" fillId="16" borderId="1" xfId="2" applyNumberFormat="1" applyFont="1" applyFill="1" applyBorder="1" applyAlignment="1">
      <alignment vertical="center"/>
    </xf>
    <xf numFmtId="164" fontId="4" fillId="0" borderId="1" xfId="2" applyNumberFormat="1" applyFont="1" applyBorder="1" applyAlignment="1">
      <alignment vertical="center"/>
    </xf>
    <xf numFmtId="0" fontId="4" fillId="0" borderId="0" xfId="0" applyFont="1" applyAlignment="1">
      <alignment vertical="center"/>
    </xf>
    <xf numFmtId="164" fontId="4" fillId="0" borderId="0" xfId="2" applyNumberFormat="1" applyFont="1" applyAlignment="1">
      <alignment vertical="center"/>
    </xf>
    <xf numFmtId="164" fontId="0" fillId="0" borderId="0" xfId="2" applyNumberFormat="1" applyFont="1" applyAlignment="1">
      <alignment vertical="center"/>
    </xf>
    <xf numFmtId="0" fontId="0" fillId="17" borderId="1" xfId="0" applyFill="1" applyBorder="1" applyAlignment="1">
      <alignment vertical="center"/>
    </xf>
    <xf numFmtId="164" fontId="0" fillId="17" borderId="1" xfId="2" applyNumberFormat="1" applyFont="1" applyFill="1" applyBorder="1" applyAlignment="1">
      <alignment vertical="center"/>
    </xf>
    <xf numFmtId="164" fontId="0" fillId="18" borderId="1" xfId="2" applyNumberFormat="1" applyFont="1" applyFill="1" applyBorder="1" applyAlignment="1">
      <alignment vertical="center"/>
    </xf>
    <xf numFmtId="164" fontId="0" fillId="0" borderId="0" xfId="2" applyNumberFormat="1" applyFont="1" applyFill="1"/>
    <xf numFmtId="164" fontId="0" fillId="0" borderId="0" xfId="2" applyNumberFormat="1" applyFont="1"/>
    <xf numFmtId="0" fontId="9" fillId="4" borderId="0" xfId="0" applyFont="1" applyFill="1"/>
    <xf numFmtId="0" fontId="5" fillId="4" borderId="0" xfId="0" applyFont="1" applyFill="1"/>
    <xf numFmtId="0" fontId="13" fillId="6" borderId="0" xfId="0" applyFont="1" applyFill="1" applyAlignment="1">
      <alignment vertical="center"/>
    </xf>
    <xf numFmtId="0" fontId="14" fillId="6" borderId="0" xfId="0" applyFont="1" applyFill="1" applyAlignment="1">
      <alignment vertical="center"/>
    </xf>
    <xf numFmtId="0" fontId="15" fillId="0" borderId="0" xfId="0" applyFont="1" applyAlignment="1">
      <alignment vertical="center"/>
    </xf>
    <xf numFmtId="37" fontId="0" fillId="0" borderId="0" xfId="1" applyNumberFormat="1" applyFont="1" applyFill="1"/>
    <xf numFmtId="0" fontId="0" fillId="21" borderId="0" xfId="0" applyFill="1"/>
    <xf numFmtId="43" fontId="0" fillId="21" borderId="0" xfId="1" applyFont="1" applyFill="1"/>
    <xf numFmtId="44" fontId="0" fillId="0" borderId="0" xfId="0" applyNumberFormat="1"/>
    <xf numFmtId="44" fontId="0" fillId="0" borderId="0" xfId="2" applyFont="1" applyFill="1"/>
    <xf numFmtId="164" fontId="0" fillId="20" borderId="0" xfId="2" applyNumberFormat="1" applyFont="1" applyFill="1"/>
    <xf numFmtId="9" fontId="0" fillId="21" borderId="0" xfId="3" applyFont="1" applyFill="1"/>
    <xf numFmtId="9" fontId="0" fillId="0" borderId="0" xfId="3" applyFont="1" applyFill="1"/>
    <xf numFmtId="164" fontId="0" fillId="20" borderId="0" xfId="0" applyNumberFormat="1" applyFill="1"/>
    <xf numFmtId="44" fontId="2" fillId="4" borderId="0" xfId="0" applyNumberFormat="1" applyFont="1" applyFill="1" applyAlignment="1">
      <alignment horizontal="right"/>
    </xf>
    <xf numFmtId="164" fontId="0" fillId="0" borderId="0" xfId="0" applyNumberFormat="1"/>
    <xf numFmtId="0" fontId="0" fillId="0" borderId="1" xfId="0" applyBorder="1"/>
    <xf numFmtId="9" fontId="0" fillId="0" borderId="0" xfId="0" applyNumberFormat="1"/>
    <xf numFmtId="165" fontId="0" fillId="20" borderId="0" xfId="1" applyNumberFormat="1" applyFont="1" applyFill="1" applyAlignment="1">
      <alignment vertical="center"/>
    </xf>
    <xf numFmtId="9" fontId="0" fillId="21" borderId="0" xfId="0" applyNumberFormat="1" applyFill="1"/>
    <xf numFmtId="0" fontId="0" fillId="6" borderId="0" xfId="0" applyFill="1"/>
    <xf numFmtId="0" fontId="2" fillId="4" borderId="0" xfId="0" applyFont="1" applyFill="1" applyAlignment="1">
      <alignment horizontal="right"/>
    </xf>
    <xf numFmtId="0" fontId="5" fillId="5" borderId="0" xfId="0" applyFont="1" applyFill="1" applyAlignment="1">
      <alignment vertical="top"/>
    </xf>
    <xf numFmtId="0" fontId="18" fillId="5" borderId="0" xfId="0" applyFont="1" applyFill="1" applyAlignment="1">
      <alignment vertical="top" wrapText="1"/>
    </xf>
    <xf numFmtId="0" fontId="0" fillId="21" borderId="0" xfId="0" applyFill="1" applyAlignment="1">
      <alignment vertical="top"/>
    </xf>
    <xf numFmtId="0" fontId="0" fillId="21" borderId="0" xfId="0" applyFill="1" applyAlignment="1">
      <alignment vertical="top" wrapText="1"/>
    </xf>
    <xf numFmtId="0" fontId="6" fillId="21" borderId="0" xfId="0" applyFont="1" applyFill="1" applyAlignment="1">
      <alignment vertical="top"/>
    </xf>
    <xf numFmtId="0" fontId="6" fillId="2" borderId="0" xfId="0" applyFont="1" applyFill="1" applyAlignment="1">
      <alignment vertical="top" wrapText="1"/>
    </xf>
    <xf numFmtId="0" fontId="0" fillId="20" borderId="0" xfId="0" applyFill="1"/>
    <xf numFmtId="0" fontId="19" fillId="0" borderId="0" xfId="0" applyFont="1" applyAlignment="1">
      <alignment vertical="top"/>
    </xf>
    <xf numFmtId="0" fontId="9" fillId="4" borderId="0" xfId="0" applyFont="1" applyFill="1" applyAlignment="1">
      <alignment vertical="center"/>
    </xf>
    <xf numFmtId="0" fontId="19" fillId="0" borderId="0" xfId="0" applyFont="1"/>
    <xf numFmtId="0" fontId="0" fillId="22" borderId="0" xfId="0" applyFill="1"/>
    <xf numFmtId="0" fontId="17" fillId="0" borderId="0" xfId="0" applyFont="1"/>
    <xf numFmtId="165" fontId="0" fillId="20" borderId="0" xfId="1" applyNumberFormat="1" applyFont="1" applyFill="1" applyAlignment="1">
      <alignment vertical="top"/>
    </xf>
    <xf numFmtId="43" fontId="0" fillId="22" borderId="0" xfId="1" applyFont="1" applyFill="1"/>
    <xf numFmtId="10" fontId="0" fillId="0" borderId="0" xfId="3" applyNumberFormat="1" applyFont="1"/>
    <xf numFmtId="0" fontId="12" fillId="4" borderId="0" xfId="0" applyFont="1" applyFill="1" applyAlignment="1">
      <alignment horizontal="left" vertical="top"/>
    </xf>
    <xf numFmtId="0" fontId="7" fillId="3" borderId="0" xfId="0" applyFont="1" applyFill="1" applyAlignment="1">
      <alignment horizontal="left" vertical="center"/>
    </xf>
    <xf numFmtId="0" fontId="2" fillId="6" borderId="0" xfId="0" applyFont="1" applyFill="1" applyAlignment="1">
      <alignment horizontal="center" vertical="center"/>
    </xf>
    <xf numFmtId="0" fontId="17" fillId="19" borderId="0" xfId="0" applyFont="1" applyFill="1" applyAlignment="1">
      <alignment horizontal="left"/>
    </xf>
    <xf numFmtId="0" fontId="0" fillId="19" borderId="0" xfId="0" applyFill="1" applyAlignment="1">
      <alignment horizontal="left"/>
    </xf>
    <xf numFmtId="0" fontId="13" fillId="9" borderId="0" xfId="0" applyFont="1" applyFill="1" applyAlignment="1">
      <alignment horizontal="center" vertical="center"/>
    </xf>
    <xf numFmtId="0" fontId="0" fillId="19" borderId="0" xfId="0" applyFill="1" applyAlignment="1">
      <alignment horizontal="left" wrapText="1"/>
    </xf>
    <xf numFmtId="0" fontId="17" fillId="19" borderId="0" xfId="0" applyFont="1" applyFill="1" applyAlignment="1">
      <alignment horizontal="left" vertical="center" wrapText="1"/>
    </xf>
    <xf numFmtId="0" fontId="0" fillId="19" borderId="0" xfId="0" applyFill="1" applyAlignment="1">
      <alignment horizontal="left" vertical="center" wrapText="1"/>
    </xf>
    <xf numFmtId="0" fontId="0" fillId="19" borderId="0" xfId="0" applyFill="1"/>
    <xf numFmtId="37" fontId="0" fillId="20" borderId="0" xfId="0" applyNumberFormat="1" applyFill="1"/>
    <xf numFmtId="0" fontId="17" fillId="19" borderId="0" xfId="0" applyFont="1" applyFill="1"/>
    <xf numFmtId="9" fontId="0" fillId="20" borderId="0" xfId="3" applyFont="1" applyFill="1"/>
    <xf numFmtId="0" fontId="4" fillId="19" borderId="0" xfId="0" applyFont="1" applyFill="1"/>
    <xf numFmtId="9" fontId="0" fillId="14" borderId="0" xfId="3" applyFont="1" applyFill="1" applyAlignment="1">
      <alignment vertical="top"/>
    </xf>
    <xf numFmtId="0" fontId="0" fillId="0" borderId="0" xfId="0" applyNumberFormat="1"/>
    <xf numFmtId="0" fontId="0" fillId="0" borderId="0" xfId="0" applyFont="1"/>
    <xf numFmtId="0" fontId="0" fillId="0" borderId="0" xfId="0" applyAlignment="1">
      <alignment horizontal="right"/>
    </xf>
    <xf numFmtId="43" fontId="0" fillId="0" borderId="0" xfId="1" applyFont="1" applyAlignment="1">
      <alignment horizontal="right"/>
    </xf>
    <xf numFmtId="43" fontId="4" fillId="0" borderId="0" xfId="1" applyFont="1" applyAlignment="1">
      <alignment horizontal="right"/>
    </xf>
    <xf numFmtId="43" fontId="1" fillId="0" borderId="0" xfId="1" applyFont="1" applyAlignment="1">
      <alignment horizontal="right"/>
    </xf>
    <xf numFmtId="0" fontId="2" fillId="23" borderId="0" xfId="0" applyFont="1" applyFill="1"/>
    <xf numFmtId="0" fontId="2" fillId="23" borderId="0" xfId="0" applyFont="1" applyFill="1" applyAlignment="1">
      <alignment horizontal="righ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1514F-B044-42D8-A601-C089C108A216}">
  <dimension ref="A1:F27"/>
  <sheetViews>
    <sheetView tabSelected="1" zoomScale="150" zoomScaleNormal="150" workbookViewId="0"/>
  </sheetViews>
  <sheetFormatPr defaultRowHeight="15" x14ac:dyDescent="0.25"/>
  <cols>
    <col min="1" max="1" width="3.7109375" customWidth="1"/>
    <col min="2" max="2" width="35.42578125" bestFit="1" customWidth="1"/>
    <col min="3" max="3" width="35.42578125" customWidth="1"/>
    <col min="4" max="4" width="41.5703125" style="6" bestFit="1" customWidth="1"/>
    <col min="5" max="5" width="58.42578125" bestFit="1" customWidth="1"/>
    <col min="6" max="6" width="48.42578125" customWidth="1"/>
  </cols>
  <sheetData>
    <row r="1" spans="1:6" x14ac:dyDescent="0.25">
      <c r="A1" s="1"/>
      <c r="B1" s="1"/>
      <c r="C1" s="1"/>
      <c r="D1" s="2"/>
      <c r="E1" s="1"/>
      <c r="F1" s="1"/>
    </row>
    <row r="2" spans="1:6" ht="49.5" customHeight="1" x14ac:dyDescent="0.25">
      <c r="A2" s="1"/>
      <c r="B2" s="8" t="s">
        <v>187</v>
      </c>
      <c r="C2" s="8"/>
      <c r="D2" s="8"/>
      <c r="E2" s="8"/>
      <c r="F2" s="8"/>
    </row>
    <row r="3" spans="1:6" s="144" customFormat="1" ht="24" x14ac:dyDescent="0.4">
      <c r="A3" s="142"/>
      <c r="B3" s="143" t="s">
        <v>181</v>
      </c>
      <c r="C3" s="143" t="s">
        <v>182</v>
      </c>
      <c r="D3" s="143" t="s">
        <v>183</v>
      </c>
      <c r="E3" s="143" t="s">
        <v>184</v>
      </c>
      <c r="F3" s="143" t="s">
        <v>185</v>
      </c>
    </row>
    <row r="4" spans="1:6" x14ac:dyDescent="0.25">
      <c r="A4" s="1"/>
      <c r="B4" s="1"/>
      <c r="C4" s="1"/>
      <c r="D4" s="2"/>
      <c r="E4" s="1"/>
      <c r="F4" s="1"/>
    </row>
    <row r="5" spans="1:6" x14ac:dyDescent="0.25">
      <c r="A5" s="1"/>
      <c r="B5" s="19" t="s">
        <v>1</v>
      </c>
      <c r="C5" s="135"/>
      <c r="D5" s="136"/>
      <c r="E5" s="135"/>
      <c r="F5" s="135"/>
    </row>
    <row r="6" spans="1:6" ht="30" x14ac:dyDescent="0.25">
      <c r="A6" s="1"/>
      <c r="B6" s="3"/>
      <c r="C6" s="137" t="s">
        <v>2</v>
      </c>
      <c r="D6" s="138" t="s">
        <v>3</v>
      </c>
      <c r="E6" s="139" t="s">
        <v>4</v>
      </c>
      <c r="F6" s="137"/>
    </row>
    <row r="7" spans="1:6" x14ac:dyDescent="0.25">
      <c r="A7" s="1"/>
      <c r="B7" s="3"/>
      <c r="C7" s="137" t="s">
        <v>5</v>
      </c>
      <c r="D7" s="138" t="s">
        <v>6</v>
      </c>
      <c r="E7" s="139" t="s">
        <v>7</v>
      </c>
      <c r="F7" s="137"/>
    </row>
    <row r="8" spans="1:6" x14ac:dyDescent="0.25">
      <c r="A8" s="1"/>
      <c r="B8" s="19" t="s">
        <v>9</v>
      </c>
      <c r="C8" s="135"/>
      <c r="D8" s="136"/>
      <c r="E8" s="135"/>
      <c r="F8" s="135"/>
    </row>
    <row r="9" spans="1:6" ht="30" x14ac:dyDescent="0.25">
      <c r="A9" s="1"/>
      <c r="B9" s="3"/>
      <c r="C9" s="137" t="s">
        <v>10</v>
      </c>
      <c r="D9" s="138" t="s">
        <v>11</v>
      </c>
      <c r="E9" s="139" t="s">
        <v>12</v>
      </c>
      <c r="F9" s="138" t="s">
        <v>245</v>
      </c>
    </row>
    <row r="10" spans="1:6" x14ac:dyDescent="0.25">
      <c r="A10" s="1"/>
      <c r="B10" s="3"/>
      <c r="C10" s="137" t="s">
        <v>14</v>
      </c>
      <c r="D10" s="138" t="s">
        <v>15</v>
      </c>
      <c r="E10" s="139" t="s">
        <v>16</v>
      </c>
      <c r="F10" s="137"/>
    </row>
    <row r="11" spans="1:6" x14ac:dyDescent="0.25">
      <c r="A11" s="1"/>
      <c r="B11" s="19" t="s">
        <v>18</v>
      </c>
      <c r="C11" s="135"/>
      <c r="D11" s="136"/>
      <c r="E11" s="135"/>
      <c r="F11" s="135"/>
    </row>
    <row r="12" spans="1:6" ht="30" x14ac:dyDescent="0.25">
      <c r="A12" s="1"/>
      <c r="B12" s="3"/>
      <c r="C12" s="137" t="s">
        <v>19</v>
      </c>
      <c r="D12" s="138" t="s">
        <v>20</v>
      </c>
      <c r="E12" s="139" t="s">
        <v>21</v>
      </c>
      <c r="F12" s="137"/>
    </row>
    <row r="13" spans="1:6" x14ac:dyDescent="0.25">
      <c r="A13" s="1"/>
      <c r="B13" s="3"/>
      <c r="C13" s="137" t="s">
        <v>22</v>
      </c>
      <c r="D13" s="138" t="s">
        <v>23</v>
      </c>
      <c r="E13" s="139" t="s">
        <v>24</v>
      </c>
      <c r="F13" s="137"/>
    </row>
    <row r="14" spans="1:6" x14ac:dyDescent="0.25">
      <c r="A14" s="1"/>
      <c r="B14" s="3"/>
      <c r="C14" s="137" t="s">
        <v>25</v>
      </c>
      <c r="D14" s="138" t="s">
        <v>26</v>
      </c>
      <c r="E14" s="139" t="s">
        <v>27</v>
      </c>
      <c r="F14" s="137"/>
    </row>
    <row r="15" spans="1:6" x14ac:dyDescent="0.25">
      <c r="A15" s="1"/>
      <c r="B15" s="19" t="s">
        <v>28</v>
      </c>
      <c r="C15" s="135"/>
      <c r="D15" s="136"/>
      <c r="E15" s="135"/>
      <c r="F15" s="135"/>
    </row>
    <row r="16" spans="1:6" x14ac:dyDescent="0.25">
      <c r="A16" s="1"/>
      <c r="B16" s="3"/>
      <c r="C16" s="137" t="s">
        <v>29</v>
      </c>
      <c r="D16" s="138" t="s">
        <v>30</v>
      </c>
      <c r="E16" s="139" t="s">
        <v>31</v>
      </c>
      <c r="F16" s="137"/>
    </row>
    <row r="17" spans="1:6" x14ac:dyDescent="0.25">
      <c r="A17" s="1"/>
      <c r="B17" s="3"/>
      <c r="C17" s="137" t="s">
        <v>32</v>
      </c>
      <c r="D17" s="138" t="s">
        <v>33</v>
      </c>
      <c r="E17" s="139" t="s">
        <v>34</v>
      </c>
      <c r="F17" s="137"/>
    </row>
    <row r="18" spans="1:6" ht="45" x14ac:dyDescent="0.25">
      <c r="A18" s="1"/>
      <c r="B18" s="3"/>
      <c r="C18" s="4" t="s">
        <v>186</v>
      </c>
      <c r="D18" s="5" t="s">
        <v>35</v>
      </c>
      <c r="E18" s="140" t="s">
        <v>188</v>
      </c>
      <c r="F18" s="5" t="s">
        <v>189</v>
      </c>
    </row>
    <row r="19" spans="1:6" x14ac:dyDescent="0.25">
      <c r="A19" s="1"/>
      <c r="B19" s="19" t="s">
        <v>36</v>
      </c>
      <c r="C19" s="135"/>
      <c r="D19" s="136"/>
      <c r="E19" s="135"/>
      <c r="F19" s="135"/>
    </row>
    <row r="20" spans="1:6" x14ac:dyDescent="0.25">
      <c r="A20" s="1"/>
      <c r="B20" s="3"/>
      <c r="C20" s="137" t="s">
        <v>38</v>
      </c>
      <c r="D20" s="138" t="s">
        <v>39</v>
      </c>
      <c r="E20" s="139" t="s">
        <v>40</v>
      </c>
      <c r="F20" s="137"/>
    </row>
    <row r="21" spans="1:6" x14ac:dyDescent="0.25">
      <c r="A21" s="1"/>
      <c r="B21" s="3"/>
      <c r="C21" s="137" t="s">
        <v>5</v>
      </c>
      <c r="D21" s="138" t="s">
        <v>41</v>
      </c>
      <c r="E21" s="139" t="s">
        <v>42</v>
      </c>
      <c r="F21" s="137"/>
    </row>
    <row r="22" spans="1:6" x14ac:dyDescent="0.25">
      <c r="A22" s="1"/>
      <c r="B22" s="19" t="s">
        <v>43</v>
      </c>
      <c r="C22" s="135"/>
      <c r="D22" s="136"/>
      <c r="E22" s="135"/>
      <c r="F22" s="135"/>
    </row>
    <row r="23" spans="1:6" x14ac:dyDescent="0.25">
      <c r="A23" s="1"/>
      <c r="B23" s="3"/>
      <c r="C23" s="137" t="s">
        <v>45</v>
      </c>
      <c r="D23" s="138" t="s">
        <v>46</v>
      </c>
      <c r="E23" s="139" t="s">
        <v>47</v>
      </c>
      <c r="F23" s="137"/>
    </row>
    <row r="24" spans="1:6" x14ac:dyDescent="0.25">
      <c r="A24" s="1"/>
      <c r="B24" s="3"/>
      <c r="C24" s="137" t="s">
        <v>48</v>
      </c>
      <c r="D24" s="138" t="s">
        <v>49</v>
      </c>
      <c r="E24" s="139" t="s">
        <v>50</v>
      </c>
      <c r="F24" s="137"/>
    </row>
    <row r="25" spans="1:6" x14ac:dyDescent="0.25">
      <c r="A25" s="1"/>
      <c r="B25" s="19" t="s">
        <v>52</v>
      </c>
      <c r="C25" s="135"/>
      <c r="D25" s="136"/>
      <c r="E25" s="135"/>
      <c r="F25" s="135"/>
    </row>
    <row r="26" spans="1:6" x14ac:dyDescent="0.25">
      <c r="A26" s="1"/>
      <c r="B26" s="1"/>
      <c r="C26" s="137" t="s">
        <v>53</v>
      </c>
      <c r="D26" s="138" t="s">
        <v>54</v>
      </c>
      <c r="E26" s="139" t="s">
        <v>55</v>
      </c>
      <c r="F26" s="137"/>
    </row>
    <row r="27" spans="1:6" ht="45" x14ac:dyDescent="0.25">
      <c r="B27" s="1"/>
      <c r="C27" s="137" t="s">
        <v>56</v>
      </c>
      <c r="D27" s="138" t="s">
        <v>57</v>
      </c>
      <c r="E27" s="139" t="s">
        <v>58</v>
      </c>
      <c r="F27" s="138" t="s">
        <v>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25382-5FDF-4ADA-8A0A-6384076F4850}">
  <dimension ref="B2:N52"/>
  <sheetViews>
    <sheetView zoomScale="150" zoomScaleNormal="150" workbookViewId="0"/>
  </sheetViews>
  <sheetFormatPr defaultRowHeight="15" x14ac:dyDescent="0.25"/>
  <cols>
    <col min="1" max="1" width="3.7109375" style="1" customWidth="1"/>
    <col min="2" max="2" width="12.7109375" style="1" customWidth="1"/>
    <col min="3" max="3" width="35.7109375" style="1" customWidth="1"/>
    <col min="4" max="4" width="15.7109375" style="1" customWidth="1"/>
    <col min="5" max="5" width="50.7109375" style="2" customWidth="1"/>
    <col min="6" max="6" width="35.7109375" style="1" customWidth="1"/>
    <col min="7" max="7" width="3.7109375" style="1" customWidth="1"/>
    <col min="8" max="8" width="12.7109375" style="1" customWidth="1"/>
    <col min="9" max="9" width="35.7109375" style="1" customWidth="1"/>
    <col min="10" max="10" width="15.7109375" style="1" customWidth="1"/>
    <col min="11" max="11" width="50.7109375" style="2" customWidth="1"/>
    <col min="12" max="12" width="37.42578125" style="2" bestFit="1" customWidth="1"/>
    <col min="13" max="16384" width="9.140625" style="1"/>
  </cols>
  <sheetData>
    <row r="2" spans="2:12" ht="50.1" customHeight="1" x14ac:dyDescent="0.25">
      <c r="B2" s="8" t="s">
        <v>60</v>
      </c>
      <c r="C2" s="9"/>
      <c r="D2" s="9"/>
      <c r="E2" s="10"/>
      <c r="F2" s="9"/>
      <c r="G2" s="9"/>
      <c r="H2" s="9"/>
      <c r="I2" s="9"/>
      <c r="J2" s="9"/>
      <c r="K2" s="11"/>
      <c r="L2" s="11"/>
    </row>
    <row r="3" spans="2:12" ht="15" customHeight="1" x14ac:dyDescent="0.25">
      <c r="B3" s="12" t="s">
        <v>61</v>
      </c>
    </row>
    <row r="4" spans="2:12" ht="15" customHeight="1" x14ac:dyDescent="0.25">
      <c r="B4" s="12"/>
    </row>
    <row r="5" spans="2:12" s="18" customFormat="1" ht="24" x14ac:dyDescent="0.25">
      <c r="B5" s="13" t="s">
        <v>62</v>
      </c>
      <c r="C5" s="13"/>
      <c r="D5" s="13"/>
      <c r="E5" s="14"/>
      <c r="F5" s="15"/>
      <c r="G5" s="16"/>
      <c r="H5" s="13" t="s">
        <v>63</v>
      </c>
      <c r="I5" s="13"/>
      <c r="J5" s="13"/>
      <c r="K5" s="14"/>
      <c r="L5" s="17"/>
    </row>
    <row r="6" spans="2:12" s="18" customFormat="1" ht="24" x14ac:dyDescent="0.25">
      <c r="B6" s="150" t="s">
        <v>64</v>
      </c>
      <c r="C6" s="150"/>
      <c r="D6" s="150"/>
      <c r="E6" s="150"/>
      <c r="F6" s="150"/>
      <c r="G6" s="16"/>
      <c r="H6" s="150" t="s">
        <v>65</v>
      </c>
      <c r="I6" s="150"/>
      <c r="J6" s="150"/>
      <c r="K6" s="150"/>
      <c r="L6" s="17"/>
    </row>
    <row r="7" spans="2:12" x14ac:dyDescent="0.25">
      <c r="B7" s="19" t="s">
        <v>66</v>
      </c>
      <c r="C7" s="19" t="s">
        <v>67</v>
      </c>
      <c r="D7" s="19" t="s">
        <v>68</v>
      </c>
      <c r="E7" s="20" t="s">
        <v>69</v>
      </c>
      <c r="F7" s="19" t="s">
        <v>70</v>
      </c>
      <c r="H7" s="19" t="s">
        <v>66</v>
      </c>
      <c r="I7" s="19" t="s">
        <v>67</v>
      </c>
      <c r="J7" s="19" t="s">
        <v>68</v>
      </c>
      <c r="K7" s="20" t="s">
        <v>69</v>
      </c>
      <c r="L7" s="20" t="s">
        <v>70</v>
      </c>
    </row>
    <row r="9" spans="2:12" s="24" customFormat="1" ht="18.75" x14ac:dyDescent="0.25">
      <c r="B9" s="21" t="s">
        <v>71</v>
      </c>
      <c r="C9" s="22"/>
      <c r="D9" s="22"/>
      <c r="E9" s="23"/>
      <c r="F9" s="22"/>
      <c r="I9" s="25"/>
      <c r="K9" s="26"/>
      <c r="L9" s="26"/>
    </row>
    <row r="10" spans="2:12" ht="30" x14ac:dyDescent="0.25">
      <c r="C10" s="27" t="s">
        <v>0</v>
      </c>
      <c r="D10" s="28">
        <v>500000</v>
      </c>
      <c r="E10" s="29" t="s">
        <v>219</v>
      </c>
      <c r="F10" s="27" t="s">
        <v>72</v>
      </c>
      <c r="I10" s="30" t="s">
        <v>73</v>
      </c>
      <c r="J10" s="31">
        <v>0.05</v>
      </c>
      <c r="K10" s="32" t="s">
        <v>74</v>
      </c>
      <c r="L10" s="32" t="s">
        <v>75</v>
      </c>
    </row>
    <row r="11" spans="2:12" ht="30" x14ac:dyDescent="0.25">
      <c r="C11" s="33" t="s">
        <v>76</v>
      </c>
      <c r="D11" s="34">
        <v>250000</v>
      </c>
      <c r="E11" s="35" t="s">
        <v>220</v>
      </c>
      <c r="F11" s="27" t="s">
        <v>72</v>
      </c>
      <c r="I11" s="30"/>
      <c r="J11" s="31"/>
      <c r="K11" s="32"/>
      <c r="L11" s="32"/>
    </row>
    <row r="12" spans="2:12" ht="30" x14ac:dyDescent="0.25">
      <c r="C12" s="33" t="s">
        <v>77</v>
      </c>
      <c r="D12" s="34">
        <v>0</v>
      </c>
      <c r="E12" s="35" t="s">
        <v>78</v>
      </c>
      <c r="F12" s="27" t="s">
        <v>72</v>
      </c>
      <c r="I12" s="30" t="s">
        <v>79</v>
      </c>
      <c r="J12" s="36">
        <v>0</v>
      </c>
      <c r="K12" s="37" t="s">
        <v>80</v>
      </c>
      <c r="L12" s="32" t="s">
        <v>75</v>
      </c>
    </row>
    <row r="13" spans="2:12" x14ac:dyDescent="0.25">
      <c r="C13" s="33" t="s">
        <v>81</v>
      </c>
      <c r="D13" s="34">
        <v>100000</v>
      </c>
      <c r="E13" s="35" t="s">
        <v>82</v>
      </c>
      <c r="F13" s="27" t="s">
        <v>72</v>
      </c>
      <c r="I13" s="38"/>
      <c r="K13" s="39"/>
    </row>
    <row r="14" spans="2:12" ht="45" x14ac:dyDescent="0.25">
      <c r="C14" s="27" t="s">
        <v>83</v>
      </c>
      <c r="D14" s="28">
        <v>750000</v>
      </c>
      <c r="E14" s="29" t="s">
        <v>84</v>
      </c>
      <c r="F14" s="27" t="s">
        <v>72</v>
      </c>
    </row>
    <row r="15" spans="2:12" ht="30" x14ac:dyDescent="0.25">
      <c r="C15" s="40" t="s">
        <v>85</v>
      </c>
      <c r="D15" s="41">
        <v>5</v>
      </c>
      <c r="E15" s="42" t="s">
        <v>86</v>
      </c>
      <c r="F15" s="40" t="s">
        <v>87</v>
      </c>
      <c r="J15" s="43"/>
      <c r="L15" s="44"/>
    </row>
    <row r="18" spans="2:14" s="24" customFormat="1" ht="18.75" x14ac:dyDescent="0.25">
      <c r="B18" s="21" t="s">
        <v>88</v>
      </c>
      <c r="C18" s="22"/>
      <c r="D18" s="22"/>
      <c r="E18" s="23"/>
      <c r="F18" s="22"/>
      <c r="I18" s="25"/>
      <c r="K18" s="26"/>
      <c r="L18" s="26"/>
    </row>
    <row r="19" spans="2:14" ht="30" x14ac:dyDescent="0.25">
      <c r="C19" s="45" t="s">
        <v>89</v>
      </c>
      <c r="D19" s="46">
        <v>0</v>
      </c>
      <c r="E19" s="47" t="s">
        <v>90</v>
      </c>
      <c r="F19" s="45" t="s">
        <v>91</v>
      </c>
      <c r="I19" s="48" t="s">
        <v>214</v>
      </c>
      <c r="J19" s="49">
        <v>0.4</v>
      </c>
      <c r="K19" s="50" t="s">
        <v>92</v>
      </c>
      <c r="L19" s="50" t="s">
        <v>93</v>
      </c>
    </row>
    <row r="20" spans="2:14" ht="30" x14ac:dyDescent="0.25">
      <c r="C20" s="45" t="s">
        <v>13</v>
      </c>
      <c r="D20" s="46">
        <v>225000</v>
      </c>
      <c r="E20" s="47" t="s">
        <v>94</v>
      </c>
      <c r="F20" s="45" t="s">
        <v>91</v>
      </c>
      <c r="I20" s="48" t="s">
        <v>13</v>
      </c>
      <c r="J20" s="51">
        <v>225000</v>
      </c>
      <c r="K20" s="50" t="s">
        <v>94</v>
      </c>
      <c r="L20" s="50" t="s">
        <v>93</v>
      </c>
    </row>
    <row r="21" spans="2:14" ht="45" x14ac:dyDescent="0.25">
      <c r="C21" s="45" t="s">
        <v>17</v>
      </c>
      <c r="D21" s="46">
        <v>150000</v>
      </c>
      <c r="E21" s="47" t="s">
        <v>221</v>
      </c>
      <c r="F21" s="45" t="s">
        <v>91</v>
      </c>
      <c r="J21" s="52"/>
      <c r="M21" s="52"/>
      <c r="N21" s="2"/>
    </row>
    <row r="22" spans="2:14" x14ac:dyDescent="0.25">
      <c r="C22" s="45" t="s">
        <v>95</v>
      </c>
      <c r="D22" s="46">
        <v>200000</v>
      </c>
      <c r="E22" s="47" t="s">
        <v>96</v>
      </c>
      <c r="F22" s="45" t="s">
        <v>91</v>
      </c>
    </row>
    <row r="23" spans="2:14" ht="30" x14ac:dyDescent="0.25">
      <c r="C23" s="45" t="s">
        <v>97</v>
      </c>
      <c r="D23" s="46">
        <v>50000</v>
      </c>
      <c r="E23" s="47" t="s">
        <v>98</v>
      </c>
      <c r="F23" s="45" t="s">
        <v>91</v>
      </c>
    </row>
    <row r="24" spans="2:14" x14ac:dyDescent="0.25">
      <c r="C24" s="45" t="s">
        <v>99</v>
      </c>
      <c r="D24" s="46"/>
      <c r="E24" s="47" t="s">
        <v>100</v>
      </c>
      <c r="F24" s="45" t="s">
        <v>91</v>
      </c>
    </row>
    <row r="25" spans="2:14" x14ac:dyDescent="0.25">
      <c r="C25" s="40" t="s">
        <v>8</v>
      </c>
      <c r="D25" s="53"/>
      <c r="E25" s="42" t="s">
        <v>101</v>
      </c>
      <c r="F25" s="40" t="s">
        <v>87</v>
      </c>
    </row>
    <row r="26" spans="2:14" ht="30" x14ac:dyDescent="0.25">
      <c r="C26" s="40" t="s">
        <v>102</v>
      </c>
      <c r="D26" s="53"/>
      <c r="E26" s="42" t="s">
        <v>103</v>
      </c>
      <c r="F26" s="40" t="s">
        <v>87</v>
      </c>
      <c r="I26" s="40" t="s">
        <v>102</v>
      </c>
      <c r="J26" s="53"/>
      <c r="K26" s="42" t="s">
        <v>103</v>
      </c>
      <c r="L26" s="42" t="s">
        <v>87</v>
      </c>
    </row>
    <row r="29" spans="2:14" s="24" customFormat="1" ht="18.75" x14ac:dyDescent="0.25">
      <c r="B29" s="21" t="s">
        <v>104</v>
      </c>
      <c r="C29" s="22"/>
      <c r="D29" s="22"/>
      <c r="E29" s="23"/>
      <c r="F29" s="22"/>
    </row>
    <row r="30" spans="2:14" x14ac:dyDescent="0.25">
      <c r="C30" s="54" t="s">
        <v>105</v>
      </c>
      <c r="D30" s="55">
        <v>15000</v>
      </c>
      <c r="E30" s="56" t="s">
        <v>106</v>
      </c>
      <c r="F30" s="54" t="s">
        <v>107</v>
      </c>
      <c r="I30" s="40" t="s">
        <v>108</v>
      </c>
      <c r="J30" s="57">
        <v>0</v>
      </c>
      <c r="K30" s="42"/>
      <c r="L30" s="42" t="s">
        <v>109</v>
      </c>
    </row>
    <row r="31" spans="2:14" ht="45" x14ac:dyDescent="0.25">
      <c r="C31" s="58" t="s">
        <v>110</v>
      </c>
      <c r="D31" s="59">
        <v>10000</v>
      </c>
      <c r="E31" s="60" t="s">
        <v>222</v>
      </c>
      <c r="F31" s="58" t="s">
        <v>107</v>
      </c>
      <c r="I31" s="61" t="s">
        <v>37</v>
      </c>
      <c r="J31" s="62">
        <v>0.08</v>
      </c>
      <c r="K31" s="63" t="s">
        <v>111</v>
      </c>
      <c r="L31" s="63" t="s">
        <v>112</v>
      </c>
    </row>
    <row r="33" spans="2:12" s="24" customFormat="1" ht="18.75" x14ac:dyDescent="0.25">
      <c r="B33" s="21" t="s">
        <v>113</v>
      </c>
      <c r="C33" s="22"/>
      <c r="D33" s="22"/>
      <c r="E33" s="23"/>
      <c r="F33" s="22"/>
      <c r="I33" s="25"/>
      <c r="K33" s="26"/>
      <c r="L33" s="26"/>
    </row>
    <row r="34" spans="2:12" ht="30" x14ac:dyDescent="0.25">
      <c r="C34" s="64" t="s">
        <v>232</v>
      </c>
      <c r="D34" s="65">
        <v>5</v>
      </c>
      <c r="E34" s="66" t="s">
        <v>114</v>
      </c>
      <c r="F34" s="64" t="s">
        <v>115</v>
      </c>
      <c r="I34" s="67" t="s">
        <v>116</v>
      </c>
      <c r="J34" s="68">
        <v>0.04</v>
      </c>
      <c r="K34" s="69" t="s">
        <v>117</v>
      </c>
      <c r="L34" s="69" t="s">
        <v>118</v>
      </c>
    </row>
    <row r="35" spans="2:12" ht="45" x14ac:dyDescent="0.25">
      <c r="C35" s="64" t="s">
        <v>44</v>
      </c>
      <c r="D35" s="70">
        <v>100000</v>
      </c>
      <c r="E35" s="66" t="s">
        <v>119</v>
      </c>
      <c r="F35" s="64" t="s">
        <v>115</v>
      </c>
      <c r="I35" s="67" t="s">
        <v>120</v>
      </c>
      <c r="J35" s="71">
        <v>5000</v>
      </c>
      <c r="K35" s="69" t="s">
        <v>121</v>
      </c>
      <c r="L35" s="69" t="s">
        <v>118</v>
      </c>
    </row>
    <row r="36" spans="2:12" ht="30" x14ac:dyDescent="0.25">
      <c r="C36" s="64" t="s">
        <v>51</v>
      </c>
      <c r="D36" s="70">
        <v>4000</v>
      </c>
      <c r="E36" s="66" t="s">
        <v>233</v>
      </c>
      <c r="F36" s="64" t="s">
        <v>115</v>
      </c>
      <c r="I36" s="67" t="s">
        <v>230</v>
      </c>
      <c r="J36" s="164">
        <v>0.1</v>
      </c>
      <c r="K36" s="69" t="s">
        <v>231</v>
      </c>
      <c r="L36" s="69" t="s">
        <v>118</v>
      </c>
    </row>
    <row r="37" spans="2:12" ht="30" x14ac:dyDescent="0.25">
      <c r="C37" s="64" t="s">
        <v>243</v>
      </c>
      <c r="D37" s="70">
        <v>1000</v>
      </c>
      <c r="E37" s="66" t="s">
        <v>244</v>
      </c>
      <c r="F37" s="64" t="s">
        <v>115</v>
      </c>
      <c r="I37" s="40" t="s">
        <v>122</v>
      </c>
      <c r="J37" s="53"/>
      <c r="K37" s="42"/>
      <c r="L37" s="42" t="s">
        <v>87</v>
      </c>
    </row>
    <row r="38" spans="2:12" ht="45" x14ac:dyDescent="0.25">
      <c r="C38" s="64" t="s">
        <v>120</v>
      </c>
      <c r="D38" s="70">
        <v>10000</v>
      </c>
      <c r="E38" s="66" t="s">
        <v>121</v>
      </c>
      <c r="F38" s="64" t="s">
        <v>115</v>
      </c>
    </row>
    <row r="39" spans="2:12" ht="45" x14ac:dyDescent="0.25">
      <c r="C39" s="40" t="s">
        <v>122</v>
      </c>
      <c r="D39" s="53"/>
      <c r="E39" s="42" t="s">
        <v>123</v>
      </c>
      <c r="F39" s="40" t="s">
        <v>87</v>
      </c>
    </row>
    <row r="41" spans="2:12" s="24" customFormat="1" ht="18.75" x14ac:dyDescent="0.25">
      <c r="B41" s="21" t="s">
        <v>124</v>
      </c>
      <c r="C41" s="22"/>
      <c r="D41" s="22"/>
      <c r="E41" s="23"/>
      <c r="F41" s="22"/>
      <c r="I41" s="25"/>
      <c r="K41" s="26"/>
      <c r="L41" s="26"/>
    </row>
    <row r="42" spans="2:12" ht="75" x14ac:dyDescent="0.25">
      <c r="C42" s="72" t="s">
        <v>211</v>
      </c>
      <c r="D42" s="73">
        <v>10000</v>
      </c>
      <c r="E42" s="74" t="s">
        <v>125</v>
      </c>
      <c r="F42" s="72" t="s">
        <v>126</v>
      </c>
      <c r="I42" s="75" t="s">
        <v>127</v>
      </c>
      <c r="J42" s="76">
        <v>0.02</v>
      </c>
      <c r="K42" s="77" t="s">
        <v>128</v>
      </c>
      <c r="L42" s="77" t="s">
        <v>129</v>
      </c>
    </row>
    <row r="43" spans="2:12" ht="45" x14ac:dyDescent="0.25">
      <c r="C43" s="72" t="s">
        <v>212</v>
      </c>
      <c r="D43" s="73">
        <v>50000</v>
      </c>
      <c r="E43" s="74" t="s">
        <v>130</v>
      </c>
      <c r="F43" s="72" t="s">
        <v>126</v>
      </c>
    </row>
    <row r="44" spans="2:12" ht="45" x14ac:dyDescent="0.25">
      <c r="C44" s="72" t="s">
        <v>213</v>
      </c>
      <c r="D44" s="73">
        <v>60000</v>
      </c>
      <c r="E44" s="74" t="s">
        <v>131</v>
      </c>
      <c r="F44" s="72" t="s">
        <v>126</v>
      </c>
    </row>
    <row r="46" spans="2:12" s="24" customFormat="1" ht="18.75" x14ac:dyDescent="0.25">
      <c r="B46" s="21" t="s">
        <v>132</v>
      </c>
      <c r="C46" s="22"/>
      <c r="D46" s="22"/>
      <c r="E46" s="23"/>
      <c r="F46" s="22"/>
      <c r="I46" s="25"/>
      <c r="K46" s="26"/>
      <c r="L46" s="26"/>
    </row>
    <row r="47" spans="2:12" ht="30" x14ac:dyDescent="0.25">
      <c r="C47" s="78" t="s">
        <v>133</v>
      </c>
      <c r="D47" s="79">
        <v>0.3</v>
      </c>
      <c r="E47" s="80" t="s">
        <v>134</v>
      </c>
      <c r="F47" s="78" t="s">
        <v>135</v>
      </c>
      <c r="I47" s="81" t="s">
        <v>136</v>
      </c>
      <c r="J47" s="82">
        <v>5</v>
      </c>
      <c r="K47" s="83" t="s">
        <v>137</v>
      </c>
      <c r="L47" s="84" t="s">
        <v>138</v>
      </c>
    </row>
    <row r="48" spans="2:12" ht="45" x14ac:dyDescent="0.25">
      <c r="B48" s="38"/>
      <c r="C48" s="78" t="s">
        <v>218</v>
      </c>
      <c r="D48" s="79">
        <v>0.1</v>
      </c>
      <c r="E48" s="80" t="s">
        <v>139</v>
      </c>
      <c r="F48" s="78" t="s">
        <v>135</v>
      </c>
    </row>
    <row r="49" spans="2:9" x14ac:dyDescent="0.25">
      <c r="B49" s="38"/>
      <c r="C49" s="40" t="s">
        <v>215</v>
      </c>
      <c r="D49" s="57">
        <v>0.3</v>
      </c>
      <c r="E49" s="42"/>
      <c r="F49" s="40" t="s">
        <v>87</v>
      </c>
      <c r="I49" s="38"/>
    </row>
    <row r="50" spans="2:9" x14ac:dyDescent="0.25">
      <c r="B50" s="38"/>
      <c r="C50" s="40" t="s">
        <v>216</v>
      </c>
      <c r="D50" s="57">
        <v>0.2</v>
      </c>
      <c r="E50" s="42"/>
      <c r="F50" s="40" t="s">
        <v>87</v>
      </c>
      <c r="I50" s="38"/>
    </row>
    <row r="51" spans="2:9" x14ac:dyDescent="0.25">
      <c r="B51" s="38"/>
      <c r="C51" s="40" t="s">
        <v>140</v>
      </c>
      <c r="D51" s="57">
        <v>0.5</v>
      </c>
      <c r="E51" s="42"/>
      <c r="F51" s="40" t="s">
        <v>87</v>
      </c>
      <c r="I51" s="38"/>
    </row>
    <row r="52" spans="2:9" x14ac:dyDescent="0.25">
      <c r="C52" s="40" t="s">
        <v>217</v>
      </c>
      <c r="D52" s="57">
        <v>0.2</v>
      </c>
      <c r="E52" s="42"/>
      <c r="F52" s="40" t="s">
        <v>87</v>
      </c>
      <c r="I52" s="38"/>
    </row>
  </sheetData>
  <mergeCells count="2">
    <mergeCell ref="B6:F6"/>
    <mergeCell ref="H6:K6"/>
  </mergeCells>
  <dataValidations disablePrompts="1" count="5">
    <dataValidation type="custom" allowBlank="1" showInputMessage="1" showErrorMessage="1" errorTitle="Must Be 0" error="Cloud Spend Growth Rate can only be entered when Cloud Reserveration Duration is 0." sqref="J10" xr:uid="{196F3DA0-ED03-4D12-A3BF-A1D46CB8244E}">
      <formula1>OR(J12=0,J10=0)</formula1>
    </dataValidation>
    <dataValidation type="custom" allowBlank="1" showInputMessage="1" showErrorMessage="1" errorTitle="Must Be 0" error="Cloud Reservation Duration can only be entered when Cloud Spend Growth Rate is 0." sqref="J12" xr:uid="{342F00B3-6013-4D30-B0CD-786B605804DE}">
      <formula1>OR(J10=0,J12=0)</formula1>
    </dataValidation>
    <dataValidation type="custom" allowBlank="1" showInputMessage="1" showErrorMessage="1" errorTitle="Must Be 0" error="Cloud Deployment and Cloud Storage costs can only be entered when Cloud Reserveration is 0." sqref="D11" xr:uid="{238313D4-1091-4314-BB32-5AEB835A9CCB}">
      <formula1>OR(D12=0, AND(D10=0, D11=0))</formula1>
    </dataValidation>
    <dataValidation type="custom" allowBlank="1" showInputMessage="1" showErrorMessage="1" errorTitle="Must Be 0" error="Cloud Reserveration costs can only be entered when Cloud Deployment and Cloud Storage costs are 0." sqref="D12:D13" xr:uid="{3C90DC51-946F-45D8-81F0-810A0DD8382B}">
      <formula1>OR(AND(D10=0, D11=0), D12=0)</formula1>
    </dataValidation>
    <dataValidation type="custom" allowBlank="1" showInputMessage="1" showErrorMessage="1" errorTitle="Must Be 0" error="Cloud Deployment and Cloud Storage costs can only be entered when Cloud Reserveration is 0." sqref="D10" xr:uid="{F2E7B52D-788A-4365-975C-315F55A1AB0B}">
      <formula1>OR(D12=0, AND(D10=0, D11=0))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4F379-726A-4D88-94C7-714CA2703172}">
  <dimension ref="B2:H29"/>
  <sheetViews>
    <sheetView zoomScale="150" zoomScaleNormal="150" workbookViewId="0"/>
  </sheetViews>
  <sheetFormatPr defaultRowHeight="15" x14ac:dyDescent="0.25"/>
  <cols>
    <col min="1" max="1" width="3.7109375" customWidth="1"/>
    <col min="2" max="2" width="40.7109375" customWidth="1"/>
    <col min="3" max="8" width="16.7109375" customWidth="1"/>
  </cols>
  <sheetData>
    <row r="2" spans="2:8" ht="50.1" customHeight="1" x14ac:dyDescent="0.25">
      <c r="B2" s="151" t="s">
        <v>141</v>
      </c>
      <c r="C2" s="151"/>
      <c r="D2" s="151"/>
      <c r="E2" s="151"/>
      <c r="F2" s="151"/>
      <c r="G2" s="151"/>
      <c r="H2" s="151"/>
    </row>
    <row r="4" spans="2:8" s="87" customFormat="1" ht="20.100000000000001" customHeight="1" x14ac:dyDescent="0.25">
      <c r="B4" s="85" t="s">
        <v>142</v>
      </c>
      <c r="C4" s="86" t="s">
        <v>143</v>
      </c>
      <c r="D4" s="86" t="s">
        <v>144</v>
      </c>
      <c r="E4" s="86" t="s">
        <v>145</v>
      </c>
      <c r="F4" s="86" t="s">
        <v>146</v>
      </c>
      <c r="G4" s="86" t="s">
        <v>147</v>
      </c>
      <c r="H4" s="86" t="s">
        <v>148</v>
      </c>
    </row>
    <row r="5" spans="2:8" s="87" customFormat="1" ht="20.100000000000001" customHeight="1" x14ac:dyDescent="0.25">
      <c r="B5" s="88" t="s">
        <v>72</v>
      </c>
      <c r="C5" s="89">
        <f>SUM('Organization Costs v2'!$D$10:$D$14)</f>
        <v>1600000</v>
      </c>
      <c r="D5" s="90">
        <f>IF('Organization Costs v2'!$J$10&gt;0,SUM('Organization Costs v2'!$D$10:$D$11)*SUM(1+'Organization Costs v2'!$J$10),IF('Organization Costs v2'!$J$12&gt;1,'Organization Costs v2'!$D$12,0))</f>
        <v>787500</v>
      </c>
      <c r="E5" s="90">
        <f>IF('Organization Costs v2'!$J$10&gt;0,D5*SUM(1+'Organization Costs v2'!$J$10),IF('Organization Costs v2'!$J$12&gt;2,'Organization Costs v2'!$D$12,0))</f>
        <v>826875</v>
      </c>
      <c r="F5" s="90">
        <f>IF('Organization Costs v2'!$J$10&gt;0,E5*SUM(1+'Organization Costs v2'!$J$10),IF('Organization Costs v2'!$J$12&gt;3,'Organization Costs v2'!$D$12,0))</f>
        <v>868218.75</v>
      </c>
      <c r="G5" s="90">
        <f>IF('Organization Costs v2'!$J$10&gt;0,F5*SUM(1+'Organization Costs v2'!$J$10),IF('Organization Costs v2'!$J$12&gt;4,'Organization Costs v2'!$D$12,0))</f>
        <v>911629.6875</v>
      </c>
      <c r="H5" s="91">
        <f>SUM(C5:G5)</f>
        <v>4994223.4375</v>
      </c>
    </row>
    <row r="6" spans="2:8" s="87" customFormat="1" ht="20.100000000000001" customHeight="1" x14ac:dyDescent="0.25">
      <c r="B6" s="92" t="s">
        <v>91</v>
      </c>
      <c r="C6" s="93">
        <f>SUM('Organization Costs v2'!$D$19:$D$24)</f>
        <v>625000</v>
      </c>
      <c r="D6" s="94">
        <f>'Organization Costs v2'!$J$20+('Organization Costs v2'!$D$21+'Organization Costs v2'!$D$24)*'Organization Costs v2'!$J$19</f>
        <v>285000</v>
      </c>
      <c r="E6" s="94">
        <f>'Organization Costs v2'!$J$20+('Organization Costs v2'!$D$21+'Organization Costs v2'!$D$24)*'Organization Costs v2'!$J$19</f>
        <v>285000</v>
      </c>
      <c r="F6" s="94">
        <f>'Organization Costs v2'!$J$20+('Organization Costs v2'!$D$21+'Organization Costs v2'!$D$24)*'Organization Costs v2'!$J$19</f>
        <v>285000</v>
      </c>
      <c r="G6" s="94">
        <f>'Organization Costs v2'!$J$20+('Organization Costs v2'!$D$21+'Organization Costs v2'!$D$24)*'Organization Costs v2'!$J$19</f>
        <v>285000</v>
      </c>
      <c r="H6" s="91">
        <f>SUM(C6:G6)</f>
        <v>1765000</v>
      </c>
    </row>
    <row r="7" spans="2:8" s="87" customFormat="1" ht="20.100000000000001" customHeight="1" x14ac:dyDescent="0.25">
      <c r="B7" s="95" t="s">
        <v>107</v>
      </c>
      <c r="C7" s="96">
        <f>SUM('Organization Costs v2'!$D$30:$D$31)</f>
        <v>25000</v>
      </c>
      <c r="D7" s="97">
        <f>C7*(1+'Organization Costs v2'!$J$31)</f>
        <v>27000</v>
      </c>
      <c r="E7" s="97">
        <f>D7*(1+'Organization Costs v2'!$J$31)</f>
        <v>29160.000000000004</v>
      </c>
      <c r="F7" s="97">
        <f>E7*(1+'Organization Costs v2'!$J$31)</f>
        <v>31492.800000000007</v>
      </c>
      <c r="G7" s="97">
        <f>F7*(1+'Organization Costs v2'!$J$31)</f>
        <v>34012.224000000009</v>
      </c>
      <c r="H7" s="91">
        <f>SUM(C7:G7)</f>
        <v>146665.024</v>
      </c>
    </row>
    <row r="8" spans="2:8" s="87" customFormat="1" ht="20.100000000000001" customHeight="1" x14ac:dyDescent="0.25">
      <c r="B8" s="98" t="s">
        <v>115</v>
      </c>
      <c r="C8" s="99">
        <f>Worksheet!B12</f>
        <v>535000</v>
      </c>
      <c r="D8" s="100">
        <f>Worksheet!C12</f>
        <v>498000</v>
      </c>
      <c r="E8" s="100">
        <f>Worksheet!D12</f>
        <v>462640</v>
      </c>
      <c r="F8" s="100">
        <f>Worksheet!E12</f>
        <v>423702.4</v>
      </c>
      <c r="G8" s="100">
        <f>Worksheet!F12</f>
        <v>380957.56800000003</v>
      </c>
      <c r="H8" s="91">
        <f>SUM(C8:G8)</f>
        <v>2300299.9679999999</v>
      </c>
    </row>
    <row r="9" spans="2:8" s="87" customFormat="1" ht="20.100000000000001" customHeight="1" thickBot="1" x14ac:dyDescent="0.3">
      <c r="B9" s="101" t="s">
        <v>126</v>
      </c>
      <c r="C9" s="102">
        <f>SUM('Organization Costs v2'!$D$42:$D$44)</f>
        <v>120000</v>
      </c>
      <c r="D9" s="103">
        <f>C9*(1+'Organization Costs v2'!$J$42)</f>
        <v>122400</v>
      </c>
      <c r="E9" s="103">
        <f>D9*(1+'Organization Costs v2'!$J$42)</f>
        <v>124848</v>
      </c>
      <c r="F9" s="103">
        <f>E9*(1+'Organization Costs v2'!$J$42)</f>
        <v>127344.96000000001</v>
      </c>
      <c r="G9" s="103">
        <f>F9*(1+'Organization Costs v2'!$J$42)</f>
        <v>129891.85920000001</v>
      </c>
      <c r="H9" s="104">
        <f>SUM(C9:G9)</f>
        <v>624484.81920000003</v>
      </c>
    </row>
    <row r="10" spans="2:8" s="87" customFormat="1" ht="20.100000000000001" customHeight="1" x14ac:dyDescent="0.25">
      <c r="B10" s="105" t="s">
        <v>149</v>
      </c>
      <c r="C10" s="106">
        <f>SUM(C5:C9)</f>
        <v>2905000</v>
      </c>
      <c r="D10" s="106">
        <f>SUM(D5:D9)</f>
        <v>1719900</v>
      </c>
      <c r="E10" s="106">
        <f>SUM(E5:E9)</f>
        <v>1728523</v>
      </c>
      <c r="F10" s="106">
        <f>SUM(F5:F9)</f>
        <v>1735758.9100000001</v>
      </c>
      <c r="G10" s="106">
        <f>SUM(G5:G9)</f>
        <v>1741491.3387</v>
      </c>
      <c r="H10" s="106">
        <f>SUM(C10:G10)</f>
        <v>9830673.2487000003</v>
      </c>
    </row>
    <row r="11" spans="2:8" s="87" customFormat="1" ht="20.100000000000001" customHeight="1" x14ac:dyDescent="0.25">
      <c r="B11" s="105"/>
      <c r="C11" s="107"/>
      <c r="D11" s="107"/>
      <c r="E11" s="107"/>
      <c r="F11" s="107"/>
      <c r="G11" s="107"/>
      <c r="H11" s="107"/>
    </row>
    <row r="12" spans="2:8" s="87" customFormat="1" ht="20.100000000000001" customHeight="1" thickBot="1" x14ac:dyDescent="0.3">
      <c r="B12" s="108" t="s">
        <v>135</v>
      </c>
      <c r="C12" s="109">
        <f>C10*'Organization Costs v2'!$D$47*'Organization Costs v2'!$D$48</f>
        <v>87150</v>
      </c>
      <c r="D12" s="110">
        <f>IF('Organization Costs v2'!$J$47&gt;1,D10*'Organization Costs v2'!$D$47*'Organization Costs v2'!$D$48,0)</f>
        <v>51597</v>
      </c>
      <c r="E12" s="110">
        <f>IF('Organization Costs v2'!$J$47&gt;2,E10*'Organization Costs v2'!$D$47*'Organization Costs v2'!$D$48,0)</f>
        <v>51855.69</v>
      </c>
      <c r="F12" s="110">
        <f>IF('Organization Costs v2'!$J$47&gt;3,F10*'Organization Costs v2'!$D$47*'Organization Costs v2'!$D$48,0)</f>
        <v>52072.767300000007</v>
      </c>
      <c r="G12" s="110">
        <f>IF('Organization Costs v2'!$J$47&gt;4,G10*'Organization Costs v2'!$D$47*'Organization Costs v2'!$D$48,0)</f>
        <v>52244.740160999994</v>
      </c>
      <c r="H12" s="107"/>
    </row>
    <row r="13" spans="2:8" s="87" customFormat="1" ht="20.100000000000001" customHeight="1" x14ac:dyDescent="0.25">
      <c r="B13" s="105" t="s">
        <v>150</v>
      </c>
      <c r="C13" s="106">
        <f>SUM(C10:C12)</f>
        <v>2992150</v>
      </c>
      <c r="D13" s="106">
        <f>SUM(D10:D12)</f>
        <v>1771497</v>
      </c>
      <c r="E13" s="106">
        <f>SUM(E10:E12)</f>
        <v>1780378.69</v>
      </c>
      <c r="F13" s="106">
        <f>SUM(F10:F12)</f>
        <v>1787831.6773000001</v>
      </c>
      <c r="G13" s="106">
        <f>SUM(G10:G12)</f>
        <v>1793736.078861</v>
      </c>
      <c r="H13" s="107"/>
    </row>
    <row r="14" spans="2:8" s="87" customFormat="1" ht="20.100000000000001" customHeight="1" x14ac:dyDescent="0.25"/>
    <row r="15" spans="2:8" s="87" customFormat="1" ht="20.100000000000001" customHeight="1" x14ac:dyDescent="0.25">
      <c r="B15" s="105" t="s">
        <v>151</v>
      </c>
      <c r="C15" s="106">
        <f>C10</f>
        <v>2905000</v>
      </c>
      <c r="D15" s="106">
        <f>SUM(C15+D10)</f>
        <v>4624900</v>
      </c>
      <c r="E15" s="106">
        <f>SUM(D15+E10)</f>
        <v>6353423</v>
      </c>
      <c r="F15" s="106">
        <f>SUM(E15+F10)</f>
        <v>8089181.9100000001</v>
      </c>
      <c r="G15" s="106">
        <f>SUM(F15+G10)</f>
        <v>9830673.2487000003</v>
      </c>
      <c r="H15" s="107"/>
    </row>
    <row r="16" spans="2:8" s="87" customFormat="1" ht="20.100000000000001" customHeight="1" x14ac:dyDescent="0.25">
      <c r="B16" s="105" t="s">
        <v>152</v>
      </c>
      <c r="C16" s="106">
        <f>C13</f>
        <v>2992150</v>
      </c>
      <c r="D16" s="106">
        <f>C16+D13</f>
        <v>4763647</v>
      </c>
      <c r="E16" s="106">
        <f>D16+E13</f>
        <v>6544025.6899999995</v>
      </c>
      <c r="F16" s="106">
        <f>E16+F13</f>
        <v>8331857.3673</v>
      </c>
      <c r="G16" s="106">
        <f>F16+G13</f>
        <v>10125593.446161</v>
      </c>
      <c r="H16" s="107"/>
    </row>
    <row r="17" spans="3:8" x14ac:dyDescent="0.25">
      <c r="C17" s="111"/>
      <c r="D17" s="111"/>
      <c r="E17" s="111"/>
      <c r="F17" s="111"/>
      <c r="G17" s="111"/>
      <c r="H17" s="112"/>
    </row>
    <row r="18" spans="3:8" x14ac:dyDescent="0.25">
      <c r="H18" s="112"/>
    </row>
    <row r="24" spans="3:8" s="7" customFormat="1" x14ac:dyDescent="0.25"/>
    <row r="26" spans="3:8" s="7" customFormat="1" x14ac:dyDescent="0.25"/>
    <row r="28" spans="3:8" s="7" customFormat="1" x14ac:dyDescent="0.25"/>
    <row r="29" spans="3:8" x14ac:dyDescent="0.25">
      <c r="C29" s="165"/>
      <c r="D29" s="165"/>
      <c r="E29" s="165"/>
      <c r="F29" s="165"/>
      <c r="G29" s="165"/>
    </row>
  </sheetData>
  <mergeCells count="1">
    <mergeCell ref="B2:H2"/>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E0A3-E81E-48EF-B92D-2BDF83CDFBD3}">
  <dimension ref="A1:I53"/>
  <sheetViews>
    <sheetView zoomScale="150" zoomScaleNormal="150" workbookViewId="0"/>
  </sheetViews>
  <sheetFormatPr defaultRowHeight="15" x14ac:dyDescent="0.25"/>
  <cols>
    <col min="1" max="1" width="3.7109375" customWidth="1"/>
    <col min="2" max="2" width="65.7109375" customWidth="1"/>
    <col min="3" max="7" width="15.7109375" customWidth="1"/>
    <col min="8" max="8" width="23.85546875" bestFit="1" customWidth="1"/>
    <col min="9" max="9" width="15" bestFit="1" customWidth="1"/>
  </cols>
  <sheetData>
    <row r="1" spans="2:9" ht="15" customHeight="1" x14ac:dyDescent="0.25"/>
    <row r="2" spans="2:9" ht="49.5" customHeight="1" x14ac:dyDescent="0.25">
      <c r="B2" s="151" t="s">
        <v>153</v>
      </c>
      <c r="C2" s="151"/>
      <c r="D2" s="151"/>
      <c r="E2" s="151"/>
      <c r="F2" s="151"/>
      <c r="G2" s="151"/>
      <c r="H2" s="151"/>
    </row>
    <row r="3" spans="2:9" x14ac:dyDescent="0.25">
      <c r="B3" s="12" t="s">
        <v>154</v>
      </c>
    </row>
    <row r="5" spans="2:9" ht="24" x14ac:dyDescent="0.4">
      <c r="B5" s="113" t="s">
        <v>155</v>
      </c>
      <c r="C5" s="114"/>
      <c r="D5" s="114"/>
      <c r="E5" s="114"/>
      <c r="F5" s="114"/>
      <c r="G5" s="114"/>
      <c r="H5" s="114"/>
    </row>
    <row r="6" spans="2:9" s="117" customFormat="1" ht="20.100000000000001" customHeight="1" x14ac:dyDescent="0.25">
      <c r="B6" s="115" t="s">
        <v>156</v>
      </c>
      <c r="C6" s="116"/>
      <c r="D6" s="116"/>
      <c r="E6" s="155" t="s">
        <v>157</v>
      </c>
      <c r="F6" s="155"/>
      <c r="G6" s="155"/>
      <c r="H6" s="155"/>
    </row>
    <row r="7" spans="2:9" ht="15" customHeight="1" x14ac:dyDescent="0.25">
      <c r="B7" t="s">
        <v>158</v>
      </c>
      <c r="C7" s="118">
        <v>500000</v>
      </c>
      <c r="E7" s="158" t="s">
        <v>195</v>
      </c>
      <c r="F7" s="158"/>
      <c r="G7" s="158"/>
      <c r="H7" s="147">
        <f>C7*C8</f>
        <v>4250000</v>
      </c>
    </row>
    <row r="8" spans="2:9" ht="15" customHeight="1" x14ac:dyDescent="0.25">
      <c r="B8" s="119" t="s">
        <v>159</v>
      </c>
      <c r="C8" s="120">
        <v>8.5</v>
      </c>
      <c r="E8" s="157" t="s">
        <v>196</v>
      </c>
      <c r="F8" s="157"/>
      <c r="G8" s="157"/>
      <c r="H8" s="147"/>
      <c r="I8" s="121"/>
    </row>
    <row r="9" spans="2:9" ht="15" customHeight="1" x14ac:dyDescent="0.25">
      <c r="B9" t="s">
        <v>160</v>
      </c>
      <c r="C9" s="122">
        <v>0.75</v>
      </c>
      <c r="E9" s="156" t="s">
        <v>193</v>
      </c>
      <c r="F9" s="154"/>
      <c r="G9" s="154"/>
      <c r="H9" s="123">
        <f>H7*C9</f>
        <v>3187500</v>
      </c>
      <c r="I9" s="121"/>
    </row>
    <row r="10" spans="2:9" ht="15" customHeight="1" x14ac:dyDescent="0.25">
      <c r="B10" s="119" t="s">
        <v>161</v>
      </c>
      <c r="C10" s="124">
        <v>0.65</v>
      </c>
      <c r="E10" s="153" t="s">
        <v>194</v>
      </c>
      <c r="F10" s="153"/>
      <c r="G10" s="153"/>
      <c r="H10" s="141"/>
    </row>
    <row r="11" spans="2:9" ht="15" customHeight="1" x14ac:dyDescent="0.25">
      <c r="B11" t="s">
        <v>162</v>
      </c>
      <c r="C11" s="125">
        <v>0.25</v>
      </c>
      <c r="E11" s="154" t="s">
        <v>200</v>
      </c>
      <c r="F11" s="154"/>
      <c r="G11" s="154"/>
      <c r="H11" s="126">
        <f>H9*C11*(1+C12)</f>
        <v>1195312.5</v>
      </c>
      <c r="I11" s="121"/>
    </row>
    <row r="12" spans="2:9" ht="15" customHeight="1" x14ac:dyDescent="0.25">
      <c r="B12" s="119" t="s">
        <v>199</v>
      </c>
      <c r="C12" s="124">
        <v>0.5</v>
      </c>
      <c r="E12" s="153" t="s">
        <v>201</v>
      </c>
      <c r="F12" s="153"/>
      <c r="G12" s="153"/>
      <c r="H12" s="141"/>
      <c r="I12" s="125"/>
    </row>
    <row r="13" spans="2:9" ht="15" customHeight="1" x14ac:dyDescent="0.25">
      <c r="B13" s="145" t="s">
        <v>197</v>
      </c>
      <c r="C13" s="148">
        <v>12</v>
      </c>
    </row>
    <row r="14" spans="2:9" ht="15" customHeight="1" x14ac:dyDescent="0.25">
      <c r="B14" s="145" t="s">
        <v>198</v>
      </c>
      <c r="C14" s="148">
        <v>4.5</v>
      </c>
    </row>
    <row r="15" spans="2:9" ht="15" customHeight="1" x14ac:dyDescent="0.25">
      <c r="C15" s="121"/>
    </row>
    <row r="16" spans="2:9" ht="15" customHeight="1" x14ac:dyDescent="0.25">
      <c r="B16" s="114"/>
      <c r="C16" s="127" t="s">
        <v>143</v>
      </c>
      <c r="D16" s="127" t="s">
        <v>144</v>
      </c>
      <c r="E16" s="127" t="s">
        <v>145</v>
      </c>
      <c r="F16" s="127" t="s">
        <v>146</v>
      </c>
      <c r="G16" s="127" t="s">
        <v>147</v>
      </c>
    </row>
    <row r="17" spans="1:8" ht="15" customHeight="1" x14ac:dyDescent="0.25">
      <c r="B17" s="163" t="s">
        <v>163</v>
      </c>
      <c r="C17" s="126">
        <f>H9+H11</f>
        <v>4382812.5</v>
      </c>
      <c r="D17" s="126">
        <f>C17*(1+'Organization Costs v2'!$J$34)</f>
        <v>4558125</v>
      </c>
      <c r="E17" s="126">
        <f>D17*(1+'Organization Costs v2'!$J$34)</f>
        <v>4740450</v>
      </c>
      <c r="F17" s="126">
        <f>E17*(1+'Organization Costs v2'!$J$34)</f>
        <v>4930068</v>
      </c>
      <c r="G17" s="126">
        <f>F17*(1+'Organization Costs v2'!$J$34)</f>
        <v>5127270.72</v>
      </c>
    </row>
    <row r="18" spans="1:8" ht="15" customHeight="1" x14ac:dyDescent="0.25">
      <c r="B18" s="163" t="s">
        <v>164</v>
      </c>
      <c r="C18" s="126">
        <f>C17</f>
        <v>4382812.5</v>
      </c>
      <c r="D18" s="126">
        <f>(C18+D17)</f>
        <v>8940937.5</v>
      </c>
      <c r="E18" s="126">
        <f t="shared" ref="E18:G18" si="0">(D18+E17)</f>
        <v>13681387.5</v>
      </c>
      <c r="F18" s="126">
        <f t="shared" si="0"/>
        <v>18611455.5</v>
      </c>
      <c r="G18" s="126">
        <f t="shared" si="0"/>
        <v>23738726.219999999</v>
      </c>
    </row>
    <row r="19" spans="1:8" ht="15.75" thickBot="1" x14ac:dyDescent="0.3">
      <c r="A19" s="129"/>
      <c r="B19" s="129"/>
      <c r="C19" s="129"/>
      <c r="D19" s="129"/>
      <c r="E19" s="129"/>
      <c r="F19" s="129"/>
      <c r="G19" s="129"/>
      <c r="H19" s="129"/>
    </row>
    <row r="21" spans="1:8" ht="24" x14ac:dyDescent="0.4">
      <c r="B21" s="113" t="s">
        <v>165</v>
      </c>
      <c r="C21" s="114"/>
      <c r="D21" s="114"/>
      <c r="E21" s="114"/>
      <c r="F21" s="114"/>
      <c r="G21" s="114"/>
      <c r="H21" s="114"/>
    </row>
    <row r="22" spans="1:8" s="117" customFormat="1" ht="20.100000000000001" customHeight="1" x14ac:dyDescent="0.25">
      <c r="B22" s="115" t="s">
        <v>166</v>
      </c>
      <c r="C22" s="116"/>
      <c r="D22" s="116"/>
      <c r="E22" s="155" t="s">
        <v>167</v>
      </c>
      <c r="F22" s="155"/>
      <c r="G22" s="155"/>
      <c r="H22" s="155"/>
    </row>
    <row r="23" spans="1:8" x14ac:dyDescent="0.25">
      <c r="B23" t="s">
        <v>168</v>
      </c>
      <c r="C23" s="130">
        <v>0.05</v>
      </c>
      <c r="E23" s="156" t="s">
        <v>223</v>
      </c>
      <c r="F23" s="154"/>
      <c r="G23" s="154"/>
      <c r="H23" s="131">
        <f>C7*C23</f>
        <v>25000</v>
      </c>
    </row>
    <row r="24" spans="1:8" x14ac:dyDescent="0.25">
      <c r="B24" s="119" t="s">
        <v>169</v>
      </c>
      <c r="C24" s="120">
        <v>6</v>
      </c>
      <c r="E24" s="153" t="s">
        <v>190</v>
      </c>
      <c r="F24" s="153"/>
      <c r="G24" s="153"/>
      <c r="H24" s="141"/>
    </row>
    <row r="25" spans="1:8" x14ac:dyDescent="0.25">
      <c r="B25" t="s">
        <v>171</v>
      </c>
      <c r="C25" s="130">
        <v>0.85</v>
      </c>
      <c r="E25" s="154" t="s">
        <v>170</v>
      </c>
      <c r="F25" s="154"/>
      <c r="G25" s="154"/>
      <c r="H25" s="131">
        <f>C7*(1-C23)</f>
        <v>475000</v>
      </c>
    </row>
    <row r="26" spans="1:8" x14ac:dyDescent="0.25">
      <c r="B26" s="119" t="s">
        <v>173</v>
      </c>
      <c r="C26" s="132">
        <v>0.45</v>
      </c>
      <c r="E26" s="153" t="s">
        <v>191</v>
      </c>
      <c r="F26" s="153"/>
      <c r="G26" s="153"/>
      <c r="H26" s="141"/>
    </row>
    <row r="27" spans="1:8" x14ac:dyDescent="0.25">
      <c r="B27" t="s">
        <v>227</v>
      </c>
      <c r="C27" s="149">
        <v>0.02</v>
      </c>
      <c r="E27" s="154" t="s">
        <v>172</v>
      </c>
      <c r="F27" s="154"/>
      <c r="G27" s="154"/>
      <c r="H27" s="131">
        <f>H25*C24</f>
        <v>2850000</v>
      </c>
    </row>
    <row r="28" spans="1:8" x14ac:dyDescent="0.25">
      <c r="E28" s="153" t="s">
        <v>192</v>
      </c>
      <c r="F28" s="153"/>
      <c r="G28" s="153"/>
      <c r="H28" s="141"/>
    </row>
    <row r="30" spans="1:8" ht="18.75" x14ac:dyDescent="0.25">
      <c r="B30" s="115" t="s">
        <v>203</v>
      </c>
      <c r="C30" s="133"/>
      <c r="D30" s="133"/>
      <c r="E30" s="133"/>
      <c r="F30" s="133"/>
      <c r="G30" s="133"/>
    </row>
    <row r="31" spans="1:8" x14ac:dyDescent="0.25">
      <c r="B31" s="114"/>
      <c r="C31" s="134" t="s">
        <v>143</v>
      </c>
      <c r="D31" s="134" t="s">
        <v>144</v>
      </c>
      <c r="E31" s="134" t="s">
        <v>145</v>
      </c>
      <c r="F31" s="134" t="s">
        <v>146</v>
      </c>
      <c r="G31" s="134" t="s">
        <v>147</v>
      </c>
    </row>
    <row r="32" spans="1:8" x14ac:dyDescent="0.25">
      <c r="B32" s="159" t="s">
        <v>226</v>
      </c>
      <c r="C32" s="160">
        <f>$C$7*(1-$C$23)</f>
        <v>475000</v>
      </c>
      <c r="D32" s="160">
        <f>$C$7*(1-($C$23+($C$27*1)))</f>
        <v>464999.99999999994</v>
      </c>
      <c r="E32" s="160">
        <f>$C$7*(1-($C$23+($C$27*2)))</f>
        <v>455000</v>
      </c>
      <c r="F32" s="160">
        <f>$C$7*(1-($C$23+($C$27*3)))</f>
        <v>445000</v>
      </c>
      <c r="G32" s="160">
        <f>$C$7*(1-($C$23+($C$27*4)))</f>
        <v>435000</v>
      </c>
    </row>
    <row r="33" spans="1:8" x14ac:dyDescent="0.25">
      <c r="B33" s="159" t="s">
        <v>225</v>
      </c>
      <c r="C33" s="160">
        <f>C32*$C$24</f>
        <v>2850000</v>
      </c>
      <c r="D33" s="160">
        <f t="shared" ref="D33:G33" si="1">D32*$C$24</f>
        <v>2789999.9999999995</v>
      </c>
      <c r="E33" s="160">
        <f t="shared" si="1"/>
        <v>2730000</v>
      </c>
      <c r="F33" s="160">
        <f t="shared" si="1"/>
        <v>2670000</v>
      </c>
      <c r="G33" s="160">
        <f t="shared" si="1"/>
        <v>2610000</v>
      </c>
      <c r="H33" s="146"/>
    </row>
    <row r="34" spans="1:8" x14ac:dyDescent="0.25">
      <c r="B34" s="159" t="s">
        <v>224</v>
      </c>
      <c r="C34" s="123">
        <f>C33*C9</f>
        <v>2137500</v>
      </c>
      <c r="D34" s="123">
        <f>(D33*$C$9)*(1+'Organization Costs v2'!$J$34)</f>
        <v>2176199.9999999995</v>
      </c>
      <c r="E34" s="123">
        <f>(E33*$C$9)*(1+'Organization Costs v2'!$J$34)</f>
        <v>2129400</v>
      </c>
      <c r="F34" s="123">
        <f>(F33*$C$9)*(1+'Organization Costs v2'!$J$34)</f>
        <v>2082600</v>
      </c>
      <c r="G34" s="123">
        <f>(G33*$C$9)*(1+'Organization Costs v2'!$J$34)</f>
        <v>2035800</v>
      </c>
      <c r="H34" s="146" t="s">
        <v>202</v>
      </c>
    </row>
    <row r="35" spans="1:8" x14ac:dyDescent="0.25">
      <c r="B35" s="159" t="s">
        <v>229</v>
      </c>
      <c r="C35" s="126">
        <f>C34*$C$11*(1+$C$12)</f>
        <v>801562.5</v>
      </c>
      <c r="D35" s="126">
        <f t="shared" ref="D35:G35" si="2">D34*$C$11*(1+$C$12)</f>
        <v>816074.99999999977</v>
      </c>
      <c r="E35" s="126">
        <f t="shared" si="2"/>
        <v>798525</v>
      </c>
      <c r="F35" s="126">
        <f t="shared" si="2"/>
        <v>780975</v>
      </c>
      <c r="G35" s="126">
        <f t="shared" si="2"/>
        <v>763425</v>
      </c>
    </row>
    <row r="36" spans="1:8" x14ac:dyDescent="0.25">
      <c r="B36" s="161" t="s">
        <v>228</v>
      </c>
      <c r="C36" s="126"/>
      <c r="D36" s="126"/>
      <c r="E36" s="126"/>
      <c r="F36" s="126"/>
      <c r="G36" s="126"/>
    </row>
    <row r="38" spans="1:8" x14ac:dyDescent="0.25">
      <c r="C38" s="121"/>
      <c r="D38" s="128"/>
    </row>
    <row r="39" spans="1:8" ht="18.75" x14ac:dyDescent="0.25">
      <c r="B39" s="115" t="s">
        <v>207</v>
      </c>
      <c r="C39" s="152" t="s">
        <v>208</v>
      </c>
      <c r="D39" s="152"/>
      <c r="E39" s="152"/>
      <c r="F39" s="152"/>
      <c r="G39" s="152"/>
    </row>
    <row r="40" spans="1:8" x14ac:dyDescent="0.25">
      <c r="B40" s="114"/>
      <c r="C40" s="134" t="s">
        <v>143</v>
      </c>
      <c r="D40" s="134" t="s">
        <v>144</v>
      </c>
      <c r="E40" s="134" t="s">
        <v>145</v>
      </c>
      <c r="F40" s="134" t="s">
        <v>146</v>
      </c>
      <c r="G40" s="134" t="s">
        <v>147</v>
      </c>
    </row>
    <row r="41" spans="1:8" x14ac:dyDescent="0.25">
      <c r="B41" s="159" t="s">
        <v>174</v>
      </c>
      <c r="C41" s="123">
        <f>'TCO Calculator v2'!C13</f>
        <v>2992150</v>
      </c>
      <c r="D41" s="123">
        <f>'TCO Calculator v2'!D13</f>
        <v>1771497</v>
      </c>
      <c r="E41" s="123">
        <f>'TCO Calculator v2'!E13</f>
        <v>1780378.69</v>
      </c>
      <c r="F41" s="123">
        <f>'TCO Calculator v2'!F13</f>
        <v>1787831.6773000001</v>
      </c>
      <c r="G41" s="123">
        <f>'TCO Calculator v2'!G13</f>
        <v>1793736.078861</v>
      </c>
    </row>
    <row r="42" spans="1:8" x14ac:dyDescent="0.25">
      <c r="B42" s="159" t="s">
        <v>175</v>
      </c>
      <c r="C42" s="123">
        <f>'TCO Calculator v2'!C16</f>
        <v>2992150</v>
      </c>
      <c r="D42" s="123">
        <f>'TCO Calculator v2'!D16</f>
        <v>4763647</v>
      </c>
      <c r="E42" s="123">
        <f>'TCO Calculator v2'!E16</f>
        <v>6544025.6899999995</v>
      </c>
      <c r="F42" s="123">
        <f>'TCO Calculator v2'!F16</f>
        <v>8331857.3673</v>
      </c>
      <c r="G42" s="123">
        <f>'TCO Calculator v2'!G16</f>
        <v>10125593.446161</v>
      </c>
    </row>
    <row r="43" spans="1:8" x14ac:dyDescent="0.25">
      <c r="B43" s="7"/>
    </row>
    <row r="44" spans="1:8" ht="18.75" x14ac:dyDescent="0.25">
      <c r="B44" s="115" t="s">
        <v>204</v>
      </c>
      <c r="C44" s="133"/>
      <c r="D44" s="133"/>
      <c r="E44" s="133"/>
      <c r="F44" s="133"/>
      <c r="G44" s="133"/>
    </row>
    <row r="45" spans="1:8" x14ac:dyDescent="0.25">
      <c r="B45" s="114"/>
      <c r="C45" s="134" t="s">
        <v>143</v>
      </c>
      <c r="D45" s="134" t="s">
        <v>144</v>
      </c>
      <c r="E45" s="134" t="s">
        <v>145</v>
      </c>
      <c r="F45" s="134" t="s">
        <v>146</v>
      </c>
      <c r="G45" s="134" t="s">
        <v>147</v>
      </c>
    </row>
    <row r="46" spans="1:8" x14ac:dyDescent="0.25">
      <c r="B46" s="163" t="s">
        <v>176</v>
      </c>
      <c r="C46" s="126">
        <f>SUM(C34:C35)+C41</f>
        <v>5931212.5</v>
      </c>
      <c r="D46" s="126">
        <f>SUM(D34:D35)+D41</f>
        <v>4763771.9999999991</v>
      </c>
      <c r="E46" s="126">
        <f>SUM(E34:E35)+E41</f>
        <v>4708303.6899999995</v>
      </c>
      <c r="F46" s="126">
        <f>SUM(F34:F35)+F41</f>
        <v>4651406.6773000006</v>
      </c>
      <c r="G46" s="126">
        <f>SUM(G34:G35)+G41</f>
        <v>4592961.078861</v>
      </c>
      <c r="H46" s="146" t="s">
        <v>205</v>
      </c>
    </row>
    <row r="47" spans="1:8" x14ac:dyDescent="0.25">
      <c r="B47" s="163" t="s">
        <v>177</v>
      </c>
      <c r="C47" s="126">
        <f>C46</f>
        <v>5931212.5</v>
      </c>
      <c r="D47" s="126">
        <f>C47+D46</f>
        <v>10694984.5</v>
      </c>
      <c r="E47" s="126">
        <f t="shared" ref="E47" si="3">D47+E46</f>
        <v>15403288.189999999</v>
      </c>
      <c r="F47" s="126">
        <f t="shared" ref="F47" si="4">E47+F46</f>
        <v>20054694.8673</v>
      </c>
      <c r="G47" s="126">
        <f t="shared" ref="G47" si="5">F47+G46</f>
        <v>24647655.946161002</v>
      </c>
      <c r="H47" s="146" t="s">
        <v>206</v>
      </c>
    </row>
    <row r="48" spans="1:8" ht="15.75" thickBot="1" x14ac:dyDescent="0.3">
      <c r="A48" s="129"/>
      <c r="B48" s="129"/>
      <c r="C48" s="129"/>
      <c r="D48" s="129"/>
      <c r="E48" s="129"/>
      <c r="F48" s="129"/>
      <c r="G48" s="129"/>
      <c r="H48" s="129"/>
    </row>
    <row r="49" spans="2:8" x14ac:dyDescent="0.25">
      <c r="B49" s="7"/>
    </row>
    <row r="50" spans="2:8" ht="18.75" x14ac:dyDescent="0.25">
      <c r="B50" s="115" t="s">
        <v>178</v>
      </c>
      <c r="C50" s="133"/>
      <c r="D50" s="133"/>
      <c r="E50" s="133"/>
      <c r="F50" s="133"/>
      <c r="G50" s="133"/>
    </row>
    <row r="51" spans="2:8" x14ac:dyDescent="0.25">
      <c r="B51" s="114"/>
      <c r="C51" s="134" t="s">
        <v>143</v>
      </c>
      <c r="D51" s="134" t="s">
        <v>144</v>
      </c>
      <c r="E51" s="134" t="s">
        <v>145</v>
      </c>
      <c r="F51" s="134" t="s">
        <v>146</v>
      </c>
      <c r="G51" s="134" t="s">
        <v>147</v>
      </c>
    </row>
    <row r="52" spans="2:8" x14ac:dyDescent="0.25">
      <c r="B52" s="163" t="s">
        <v>179</v>
      </c>
      <c r="C52" s="162">
        <f>(C17-C46)/C46</f>
        <v>-0.26105960627780578</v>
      </c>
      <c r="D52" s="162">
        <f>(D17-D46)/D46</f>
        <v>-4.3168942594229764E-2</v>
      </c>
      <c r="E52" s="162">
        <f>(E17-E46)/E46</f>
        <v>6.8275778532035439E-3</v>
      </c>
      <c r="F52" s="162">
        <f>(F17-F46)/F46</f>
        <v>5.9909043012715844E-2</v>
      </c>
      <c r="G52" s="162">
        <f>(G17-G46)/G46</f>
        <v>0.11633228149878035</v>
      </c>
      <c r="H52" s="146" t="s">
        <v>209</v>
      </c>
    </row>
    <row r="53" spans="2:8" x14ac:dyDescent="0.25">
      <c r="B53" s="163" t="s">
        <v>180</v>
      </c>
      <c r="C53" s="162">
        <f>(C18-C47)/C47</f>
        <v>-0.26105960627780578</v>
      </c>
      <c r="D53" s="162">
        <f>(D18-D47)/D47</f>
        <v>-0.16400650230021371</v>
      </c>
      <c r="E53" s="162">
        <f>(E18-E47)/E47</f>
        <v>-0.11178786430275831</v>
      </c>
      <c r="F53" s="162">
        <f>(F18-F47)/F47</f>
        <v>-7.1965162115393777E-2</v>
      </c>
      <c r="G53" s="162">
        <f>(G18-G47)/G47</f>
        <v>-3.6876923637136926E-2</v>
      </c>
      <c r="H53" s="146" t="s">
        <v>210</v>
      </c>
    </row>
  </sheetData>
  <mergeCells count="16">
    <mergeCell ref="B2:H2"/>
    <mergeCell ref="E6:H6"/>
    <mergeCell ref="E9:G9"/>
    <mergeCell ref="E8:G8"/>
    <mergeCell ref="E11:G11"/>
    <mergeCell ref="E7:G7"/>
    <mergeCell ref="C39:G39"/>
    <mergeCell ref="E26:G26"/>
    <mergeCell ref="E27:G27"/>
    <mergeCell ref="E28:G28"/>
    <mergeCell ref="E10:G10"/>
    <mergeCell ref="E22:H22"/>
    <mergeCell ref="E23:G23"/>
    <mergeCell ref="E25:G25"/>
    <mergeCell ref="E12:G12"/>
    <mergeCell ref="E24:G2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30895-2805-485F-BE38-02B3857796FD}">
  <dimension ref="A1:F12"/>
  <sheetViews>
    <sheetView zoomScale="150" zoomScaleNormal="150" workbookViewId="0"/>
  </sheetViews>
  <sheetFormatPr defaultColWidth="98.140625" defaultRowHeight="15" x14ac:dyDescent="0.25"/>
  <cols>
    <col min="1" max="1" width="30.5703125" customWidth="1"/>
    <col min="2" max="6" width="22" style="167" customWidth="1"/>
  </cols>
  <sheetData>
    <row r="1" spans="1:6" x14ac:dyDescent="0.25">
      <c r="A1" s="171" t="s">
        <v>242</v>
      </c>
      <c r="B1" s="172" t="s">
        <v>143</v>
      </c>
      <c r="C1" s="172" t="s">
        <v>144</v>
      </c>
      <c r="D1" s="172" t="s">
        <v>145</v>
      </c>
      <c r="E1" s="172" t="s">
        <v>146</v>
      </c>
      <c r="F1" s="172" t="s">
        <v>147</v>
      </c>
    </row>
    <row r="2" spans="1:6" x14ac:dyDescent="0.25">
      <c r="A2" s="105" t="s">
        <v>236</v>
      </c>
      <c r="B2" s="168">
        <f>'Organization Costs v2'!$D$34</f>
        <v>5</v>
      </c>
      <c r="C2" s="168">
        <f>'Organization Costs v2'!$D$34</f>
        <v>5</v>
      </c>
      <c r="D2" s="168">
        <f>'Organization Costs v2'!$D$34</f>
        <v>5</v>
      </c>
      <c r="E2" s="168">
        <f>'Organization Costs v2'!$D$34</f>
        <v>5</v>
      </c>
      <c r="F2" s="168">
        <f>'Organization Costs v2'!$D$34</f>
        <v>5</v>
      </c>
    </row>
    <row r="3" spans="1:6" x14ac:dyDescent="0.25">
      <c r="A3" t="s">
        <v>234</v>
      </c>
      <c r="B3" s="168">
        <f>'Organization Costs v2'!$D$35</f>
        <v>100000</v>
      </c>
      <c r="C3" s="168">
        <f>B5</f>
        <v>100000</v>
      </c>
      <c r="D3" s="168">
        <f>C5</f>
        <v>104000</v>
      </c>
      <c r="E3" s="168">
        <f>D5</f>
        <v>108160</v>
      </c>
      <c r="F3" s="168">
        <f>E5</f>
        <v>112486.40000000001</v>
      </c>
    </row>
    <row r="4" spans="1:6" x14ac:dyDescent="0.25">
      <c r="A4" t="s">
        <v>241</v>
      </c>
      <c r="B4" s="168">
        <v>0</v>
      </c>
      <c r="C4" s="168">
        <f>B5*'Organization Costs v2'!$J$34</f>
        <v>4000</v>
      </c>
      <c r="D4" s="168">
        <f>C5*'Organization Costs v2'!$J$34</f>
        <v>4160</v>
      </c>
      <c r="E4" s="168">
        <f>D5*'Organization Costs v2'!$J$34</f>
        <v>4326.3999999999996</v>
      </c>
      <c r="F4" s="168">
        <f>E5*'Organization Costs v2'!$J$34</f>
        <v>4499.4560000000001</v>
      </c>
    </row>
    <row r="5" spans="1:6" x14ac:dyDescent="0.25">
      <c r="A5" s="7" t="s">
        <v>238</v>
      </c>
      <c r="B5" s="169">
        <f>B3</f>
        <v>100000</v>
      </c>
      <c r="C5" s="169">
        <f>B5*(1+'Organization Costs v2'!$J$34)</f>
        <v>104000</v>
      </c>
      <c r="D5" s="169">
        <f>C5*(1+'Organization Costs v2'!$J$34)</f>
        <v>108160</v>
      </c>
      <c r="E5" s="169">
        <f>D5*(1+'Organization Costs v2'!$J$34)</f>
        <v>112486.40000000001</v>
      </c>
      <c r="F5" s="169">
        <f>E5*(1+'Organization Costs v2'!$J$34)</f>
        <v>116985.85600000001</v>
      </c>
    </row>
    <row r="6" spans="1:6" x14ac:dyDescent="0.25">
      <c r="A6" t="s">
        <v>246</v>
      </c>
      <c r="B6" s="168">
        <v>0</v>
      </c>
      <c r="C6" s="168">
        <f>C5*('Organization Costs v2'!$J$36)*-1</f>
        <v>-10400</v>
      </c>
      <c r="D6" s="168">
        <f>D5*(2*'Organization Costs v2'!$J$36)*-1</f>
        <v>-21632</v>
      </c>
      <c r="E6" s="168">
        <f>E5*(3*'Organization Costs v2'!$J$36)*-1</f>
        <v>-33745.920000000006</v>
      </c>
      <c r="F6" s="168">
        <f>F5*(4*'Organization Costs v2'!$J$36)*-1</f>
        <v>-46794.342400000009</v>
      </c>
    </row>
    <row r="7" spans="1:6" x14ac:dyDescent="0.25">
      <c r="A7" s="7" t="s">
        <v>239</v>
      </c>
      <c r="B7" s="169">
        <f>SUM(B5:B6)</f>
        <v>100000</v>
      </c>
      <c r="C7" s="169">
        <f>SUM(C5:C6)</f>
        <v>93600</v>
      </c>
      <c r="D7" s="169">
        <f>SUM(D5:D6)</f>
        <v>86528</v>
      </c>
      <c r="E7" s="169">
        <f>SUM(E5:E6)</f>
        <v>78740.48000000001</v>
      </c>
      <c r="F7" s="169">
        <f>SUM(F5:F6)</f>
        <v>70191.513600000006</v>
      </c>
    </row>
    <row r="8" spans="1:6" s="166" customFormat="1" x14ac:dyDescent="0.25">
      <c r="A8" s="166" t="s">
        <v>243</v>
      </c>
      <c r="B8" s="170">
        <f>'Organization Costs v2'!$D$37</f>
        <v>1000</v>
      </c>
      <c r="C8" s="170">
        <f>'Organization Costs v2'!$D$37</f>
        <v>1000</v>
      </c>
      <c r="D8" s="170">
        <f>'Organization Costs v2'!$D$37</f>
        <v>1000</v>
      </c>
      <c r="E8" s="170">
        <f>'Organization Costs v2'!$D$37</f>
        <v>1000</v>
      </c>
      <c r="F8" s="170">
        <f>'Organization Costs v2'!$D$37</f>
        <v>1000</v>
      </c>
    </row>
    <row r="9" spans="1:6" x14ac:dyDescent="0.25">
      <c r="A9" t="s">
        <v>235</v>
      </c>
      <c r="B9" s="168">
        <f>'Organization Costs v2'!$D$36</f>
        <v>4000</v>
      </c>
      <c r="C9" s="168">
        <f>'Organization Costs v2'!$D$36</f>
        <v>4000</v>
      </c>
      <c r="D9" s="168">
        <f>'Organization Costs v2'!$D$36</f>
        <v>4000</v>
      </c>
      <c r="E9" s="168">
        <f>'Organization Costs v2'!$D$36</f>
        <v>4000</v>
      </c>
      <c r="F9" s="168">
        <f>'Organization Costs v2'!$D$36</f>
        <v>4000</v>
      </c>
    </row>
    <row r="10" spans="1:6" x14ac:dyDescent="0.25">
      <c r="A10" s="7" t="s">
        <v>237</v>
      </c>
      <c r="B10" s="169">
        <f>B2*SUM(B7:B9)</f>
        <v>525000</v>
      </c>
      <c r="C10" s="169">
        <f>C2*SUM(C7:C9)</f>
        <v>493000</v>
      </c>
      <c r="D10" s="169">
        <f>D2*SUM(D7:D9)</f>
        <v>457640</v>
      </c>
      <c r="E10" s="169">
        <f>E2*SUM(E7:E9)</f>
        <v>418702.4</v>
      </c>
      <c r="F10" s="169">
        <f>F2*SUM(F7:F9)</f>
        <v>375957.56800000003</v>
      </c>
    </row>
    <row r="11" spans="1:6" x14ac:dyDescent="0.25">
      <c r="A11" t="s">
        <v>120</v>
      </c>
      <c r="B11" s="168">
        <f>'Organization Costs v2'!D38</f>
        <v>10000</v>
      </c>
      <c r="C11" s="168">
        <f>'Organization Costs v2'!$J$35</f>
        <v>5000</v>
      </c>
      <c r="D11" s="168">
        <f>'Organization Costs v2'!$J$35</f>
        <v>5000</v>
      </c>
      <c r="E11" s="168">
        <f>'Organization Costs v2'!$J$35</f>
        <v>5000</v>
      </c>
      <c r="F11" s="168">
        <f>'Organization Costs v2'!$J$35</f>
        <v>5000</v>
      </c>
    </row>
    <row r="12" spans="1:6" x14ac:dyDescent="0.25">
      <c r="A12" s="7" t="s">
        <v>240</v>
      </c>
      <c r="B12" s="169">
        <f>SUM(B10:B11)</f>
        <v>535000</v>
      </c>
      <c r="C12" s="169">
        <f>SUM(C10:C11)</f>
        <v>498000</v>
      </c>
      <c r="D12" s="169">
        <f>SUM(D10:D11)</f>
        <v>462640</v>
      </c>
      <c r="E12" s="169">
        <f>SUM(E10:E11)</f>
        <v>423702.4</v>
      </c>
      <c r="F12" s="169">
        <f>SUM(F10:F11)</f>
        <v>380957.56800000003</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DE63DC992074604D93589642A25D8E3D" ma:contentTypeVersion="1" ma:contentTypeDescription="Upload an image." ma:contentTypeScope="" ma:versionID="90be83e31f85e272212d6dd14cb913f9">
  <xsd:schema xmlns:xsd="http://www.w3.org/2001/XMLSchema" xmlns:xs="http://www.w3.org/2001/XMLSchema" xmlns:p="http://schemas.microsoft.com/office/2006/metadata/properties" xmlns:ns1="http://schemas.microsoft.com/sharepoint/v3" xmlns:ns2="3A189892-9DC9-49A3-A2EF-7E59F7C1D568" xmlns:ns3="ff47d776-8114-4207-8cc3-ed44e79849e7" xmlns:ns4="http://schemas.microsoft.com/sharepoint/v3/fields" targetNamespace="http://schemas.microsoft.com/office/2006/metadata/properties" ma:root="true" ma:fieldsID="5857caf2b4a08f0f26838eec26b79087" ns1:_="" ns2:_="" ns3:_="" ns4:_="">
    <xsd:import namespace="http://schemas.microsoft.com/sharepoint/v3"/>
    <xsd:import namespace="3A189892-9DC9-49A3-A2EF-7E59F7C1D568"/>
    <xsd:import namespace="ff47d776-8114-4207-8cc3-ed44e79849e7"/>
    <xsd:import namespace="http://schemas.microsoft.com/sharepoint/v3/fields"/>
    <xsd:element name="properties">
      <xsd:complexType>
        <xsd:sequence>
          <xsd:element name="documentManagement">
            <xsd:complexType>
              <xsd:all>
                <xsd:element ref="ns3:Sensitivity" minOccurs="0"/>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4: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9" nillable="true" ma:displayName="URL Path" ma:hidden="true" ma:list="Docs" ma:internalName="FileRef" ma:readOnly="true" ma:showField="FullUrl">
      <xsd:simpleType>
        <xsd:restriction base="dms:Lookup"/>
      </xsd:simpleType>
    </xsd:element>
    <xsd:element name="File_x0020_Type" ma:index="10" nillable="true" ma:displayName="File Type" ma:hidden="true" ma:internalName="File_x0020_Type" ma:readOnly="true">
      <xsd:simpleType>
        <xsd:restriction base="dms:Text"/>
      </xsd:simpleType>
    </xsd:element>
    <xsd:element name="HTML_x0020_File_x0020_Type" ma:index="11" nillable="true" ma:displayName="HTML File Type" ma:hidden="true" ma:internalName="HTML_x0020_File_x0020_Type" ma:readOnly="true">
      <xsd:simpleType>
        <xsd:restriction base="dms:Text"/>
      </xsd:simpleType>
    </xsd:element>
    <xsd:element name="FSObjType" ma:index="12" nillable="true" ma:displayName="Item Type" ma:hidden="true" ma:list="Docs" ma:internalName="FSObjType" ma:readOnly="true" ma:showField="FSType">
      <xsd:simpleType>
        <xsd:restriction base="dms:Lookup"/>
      </xsd:simpleType>
    </xsd:element>
    <xsd:element name="PublishingStartDate" ma:index="28" nillable="true" ma:displayName="Scheduling Start Date" ma:description="" ma:hidden="true" ma:internalName="PublishingStartDate">
      <xsd:simpleType>
        <xsd:restriction base="dms:Unknown"/>
      </xsd:simpleType>
    </xsd:element>
    <xsd:element name="PublishingExpirationDate" ma:index="2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189892-9DC9-49A3-A2EF-7E59F7C1D568" elementFormDefault="qualified">
    <xsd:import namespace="http://schemas.microsoft.com/office/2006/documentManagement/types"/>
    <xsd:import namespace="http://schemas.microsoft.com/office/infopath/2007/PartnerControls"/>
    <xsd:element name="ThumbnailExists" ma:index="19" nillable="true" ma:displayName="Thumbnail Exists" ma:default="FALSE" ma:hidden="true" ma:internalName="ThumbnailExists" ma:readOnly="true">
      <xsd:simpleType>
        <xsd:restriction base="dms:Boolean"/>
      </xsd:simpleType>
    </xsd:element>
    <xsd:element name="PreviewExists" ma:index="20" nillable="true" ma:displayName="Preview Exists" ma:default="FALSE" ma:hidden="true" ma:internalName="PreviewExists" ma:readOnly="true">
      <xsd:simpleType>
        <xsd:restriction base="dms:Boolean"/>
      </xsd:simpleType>
    </xsd:element>
    <xsd:element name="ImageWidth" ma:index="21" nillable="true" ma:displayName="Width" ma:internalName="ImageWidth" ma:readOnly="true">
      <xsd:simpleType>
        <xsd:restriction base="dms:Unknown"/>
      </xsd:simpleType>
    </xsd:element>
    <xsd:element name="ImageHeight" ma:index="23" nillable="true" ma:displayName="Height" ma:internalName="ImageHeight" ma:readOnly="true">
      <xsd:simpleType>
        <xsd:restriction base="dms:Unknown"/>
      </xsd:simpleType>
    </xsd:element>
    <xsd:element name="ImageCreateDate" ma:index="26"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f47d776-8114-4207-8cc3-ed44e79849e7" elementFormDefault="qualified">
    <xsd:import namespace="http://schemas.microsoft.com/office/2006/documentManagement/types"/>
    <xsd:import namespace="http://schemas.microsoft.com/office/infopath/2007/PartnerControls"/>
    <xsd:element name="Sensitivity" ma:index="8" nillable="true" ma:displayName="Sensitivity" ma:default="Internal Use" ma:format="Dropdown" ma:internalName="Sensitivity">
      <xsd:simpleType>
        <xsd:restriction base="dms:Choice">
          <xsd:enumeration value="Public"/>
          <xsd:enumeration value="Member Only"/>
          <xsd:enumeration value="Internal Use"/>
          <xsd:enumeration value="Confidential"/>
          <xsd:enumeration value="Secret"/>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7"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5" ma:displayName="Author"/>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ma:index="24" ma:displayName="Comments"/>
        <xsd:element name="keywords" minOccurs="0" maxOccurs="1" type="xsd:string" ma:index="1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ageCreateDate xmlns="3A189892-9DC9-49A3-A2EF-7E59F7C1D568" xsi:nil="true"/>
    <PublishingExpirationDate xmlns="http://schemas.microsoft.com/sharepoint/v3" xsi:nil="true"/>
    <PublishingStartDate xmlns="http://schemas.microsoft.com/sharepoint/v3" xsi:nil="true"/>
    <wic_System_Copyright xmlns="http://schemas.microsoft.com/sharepoint/v3/fields" xsi:nil="true"/>
    <Sensitivity xmlns="ff47d776-8114-4207-8cc3-ed44e79849e7">Internal Use</Sensitivity>
  </documentManagement>
</p:properties>
</file>

<file path=customXml/itemProps1.xml><?xml version="1.0" encoding="utf-8"?>
<ds:datastoreItem xmlns:ds="http://schemas.openxmlformats.org/officeDocument/2006/customXml" ds:itemID="{D7326A30-A3D7-4D17-BA8E-F8E0E9978B0C}">
  <ds:schemaRefs>
    <ds:schemaRef ds:uri="http://schemas.microsoft.com/sharepoint/v3/contenttype/forms"/>
  </ds:schemaRefs>
</ds:datastoreItem>
</file>

<file path=customXml/itemProps2.xml><?xml version="1.0" encoding="utf-8"?>
<ds:datastoreItem xmlns:ds="http://schemas.openxmlformats.org/officeDocument/2006/customXml" ds:itemID="{5175B5E7-9A1B-48A2-A20A-F5E45DDDAFEC}"/>
</file>

<file path=customXml/itemProps3.xml><?xml version="1.0" encoding="utf-8"?>
<ds:datastoreItem xmlns:ds="http://schemas.openxmlformats.org/officeDocument/2006/customXml" ds:itemID="{CDADD9CC-D332-495A-BEA5-E64D4BAB3808}">
  <ds:schemaRefs>
    <ds:schemaRef ds:uri="http://purl.org/dc/elements/1.1/"/>
    <ds:schemaRef ds:uri="43aa8b73-393f-45cd-bb4c-16368acd8b08"/>
    <ds:schemaRef ds:uri="http://www.w3.org/XML/1998/namespac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Documentation</vt:lpstr>
      <vt:lpstr>Organization Costs v2</vt:lpstr>
      <vt:lpstr>TCO Calculator v2</vt:lpstr>
      <vt:lpstr>Customer Service Transform v2</vt:lpstr>
      <vt:lpstr>Worksheet</vt:lpstr>
    </vt:vector>
  </TitlesOfParts>
  <Company>LL Global,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Puente, Andrew</dc:creator>
  <cp:keywords/>
  <dc:description/>
  <cp:lastModifiedBy>Puente, Andrew</cp:lastModifiedBy>
  <dcterms:created xsi:type="dcterms:W3CDTF">2025-04-04T16:25:16Z</dcterms:created>
  <dcterms:modified xsi:type="dcterms:W3CDTF">2025-05-16T20:11:07Z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0x0101009148F5A04DDD49CBA7127AADA5FB792B00AADE34325A8B49CDA8BB4DB53328F21400DE63DC992074604D93589642A25D8E3D</vt:lpwstr>
  </property>
</Properties>
</file>